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carvajal/Dropbox (Tax Foundation)/Publications/Fiscal Facts/FF780/"/>
    </mc:Choice>
  </mc:AlternateContent>
  <xr:revisionPtr revIDLastSave="0" documentId="8_{016A9EC8-0054-6549-9E44-7A9175C64959}" xr6:coauthVersionLast="45" xr6:coauthVersionMax="45" xr10:uidLastSave="{00000000-0000-0000-0000-000000000000}"/>
  <bookViews>
    <workbookView xWindow="6860" yWindow="3020" windowWidth="27640" windowHeight="16940" xr2:uid="{17000AB9-B33D-E744-9A06-0F24C1B122FC}"/>
  </bookViews>
  <sheets>
    <sheet name="Appendix 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3" i="1" l="1"/>
  <c r="C372" i="1"/>
  <c r="C371" i="1"/>
  <c r="C374" i="1" s="1"/>
  <c r="C365" i="1"/>
  <c r="C364" i="1"/>
  <c r="C366" i="1" s="1"/>
  <c r="C358" i="1"/>
  <c r="C357" i="1"/>
  <c r="C356" i="1"/>
  <c r="C355" i="1"/>
  <c r="C350" i="1"/>
  <c r="C349" i="1"/>
  <c r="C348" i="1"/>
  <c r="C347" i="1"/>
  <c r="C351" i="1" s="1"/>
  <c r="C343" i="1"/>
  <c r="C342" i="1"/>
  <c r="C341" i="1"/>
  <c r="C337" i="1"/>
  <c r="C330" i="1"/>
  <c r="C329" i="1"/>
  <c r="C328" i="1"/>
  <c r="C331" i="1" s="1"/>
  <c r="C326" i="1"/>
  <c r="C321" i="1"/>
  <c r="C320" i="1"/>
  <c r="C319" i="1"/>
  <c r="C322" i="1" s="1"/>
  <c r="C313" i="1"/>
  <c r="C314" i="1" s="1"/>
  <c r="C308" i="1"/>
  <c r="C307" i="1"/>
  <c r="C306" i="1"/>
  <c r="C305" i="1"/>
  <c r="C304" i="1"/>
  <c r="C298" i="1"/>
  <c r="C297" i="1"/>
  <c r="C296" i="1"/>
  <c r="C299" i="1" s="1"/>
  <c r="C290" i="1"/>
  <c r="C289" i="1"/>
  <c r="C283" i="1"/>
  <c r="C282" i="1"/>
  <c r="C284" i="1" s="1"/>
  <c r="C278" i="1"/>
  <c r="C279" i="1" s="1"/>
  <c r="C271" i="1"/>
  <c r="C270" i="1"/>
  <c r="C269" i="1"/>
  <c r="C268" i="1"/>
  <c r="C263" i="1"/>
  <c r="C262" i="1"/>
  <c r="C261" i="1"/>
  <c r="C264" i="1" s="1"/>
  <c r="C257" i="1"/>
  <c r="C256" i="1"/>
  <c r="C255" i="1"/>
  <c r="C249" i="1"/>
  <c r="C248" i="1"/>
  <c r="C247" i="1"/>
  <c r="C250" i="1" s="1"/>
  <c r="C240" i="1"/>
  <c r="C241" i="1" s="1"/>
  <c r="C239" i="1"/>
  <c r="C233" i="1"/>
  <c r="C232" i="1"/>
  <c r="C231" i="1"/>
  <c r="C230" i="1"/>
  <c r="C228" i="1"/>
  <c r="C227" i="1"/>
  <c r="C235" i="1" s="1"/>
  <c r="C221" i="1"/>
  <c r="C220" i="1"/>
  <c r="C219" i="1"/>
  <c r="C218" i="1"/>
  <c r="C222" i="1" s="1"/>
  <c r="C213" i="1"/>
  <c r="C214" i="1" s="1"/>
  <c r="C209" i="1"/>
  <c r="C208" i="1"/>
  <c r="C203" i="1"/>
  <c r="C202" i="1"/>
  <c r="C201" i="1"/>
  <c r="C200" i="1"/>
  <c r="C204" i="1" s="1"/>
  <c r="C196" i="1"/>
  <c r="C197" i="1" s="1"/>
  <c r="C195" i="1"/>
  <c r="C194" i="1"/>
  <c r="C193" i="1"/>
  <c r="C192" i="1"/>
  <c r="C187" i="1"/>
  <c r="C186" i="1"/>
  <c r="C188" i="1" s="1"/>
  <c r="C182" i="1"/>
  <c r="C180" i="1"/>
  <c r="C176" i="1"/>
  <c r="C175" i="1"/>
  <c r="C170" i="1"/>
  <c r="C169" i="1"/>
  <c r="C168" i="1"/>
  <c r="C171" i="1" s="1"/>
  <c r="C164" i="1"/>
  <c r="C163" i="1"/>
  <c r="C162" i="1"/>
  <c r="C161" i="1"/>
  <c r="C156" i="1"/>
  <c r="C157" i="1" s="1"/>
  <c r="C151" i="1"/>
  <c r="C150" i="1"/>
  <c r="C152" i="1" s="1"/>
  <c r="C149" i="1"/>
  <c r="C148" i="1"/>
  <c r="C143" i="1"/>
  <c r="C142" i="1"/>
  <c r="C141" i="1"/>
  <c r="C144" i="1" s="1"/>
  <c r="C137" i="1"/>
  <c r="C136" i="1"/>
  <c r="C135" i="1"/>
  <c r="C134" i="1"/>
  <c r="C128" i="1"/>
  <c r="C127" i="1"/>
  <c r="C126" i="1"/>
  <c r="C130" i="1" s="1"/>
  <c r="C120" i="1"/>
  <c r="C121" i="1" s="1"/>
  <c r="C119" i="1"/>
  <c r="C118" i="1"/>
  <c r="C113" i="1"/>
  <c r="C112" i="1"/>
  <c r="C114" i="1" s="1"/>
  <c r="C106" i="1"/>
  <c r="C105" i="1"/>
  <c r="C107" i="1" s="1"/>
  <c r="C104" i="1"/>
  <c r="C103" i="1"/>
  <c r="C97" i="1"/>
  <c r="C96" i="1"/>
  <c r="C95" i="1"/>
  <c r="C98" i="1" s="1"/>
  <c r="C90" i="1"/>
  <c r="C91" i="1" s="1"/>
  <c r="C85" i="1"/>
  <c r="C84" i="1"/>
  <c r="C86" i="1" s="1"/>
  <c r="C78" i="1"/>
  <c r="C77" i="1"/>
  <c r="C76" i="1"/>
  <c r="C79" i="1" s="1"/>
  <c r="C73" i="1"/>
  <c r="C72" i="1"/>
  <c r="C71" i="1"/>
  <c r="C70" i="1"/>
  <c r="C66" i="1"/>
  <c r="C67" i="1" s="1"/>
  <c r="C61" i="1"/>
  <c r="C60" i="1"/>
  <c r="C62" i="1" s="1"/>
  <c r="C55" i="1"/>
  <c r="C56" i="1" s="1"/>
  <c r="C50" i="1"/>
  <c r="C49" i="1"/>
  <c r="C48" i="1"/>
  <c r="C47" i="1"/>
  <c r="C46" i="1"/>
  <c r="C51" i="1" s="1"/>
  <c r="C41" i="1"/>
  <c r="C40" i="1"/>
  <c r="C39" i="1"/>
  <c r="C38" i="1"/>
  <c r="C37" i="1"/>
  <c r="C36" i="1"/>
  <c r="C35" i="1"/>
  <c r="C42" i="1" s="1"/>
  <c r="C30" i="1"/>
  <c r="C29" i="1"/>
  <c r="C28" i="1"/>
  <c r="C27" i="1"/>
  <c r="C31" i="1" s="1"/>
  <c r="C22" i="1"/>
  <c r="C21" i="1"/>
  <c r="C23" i="1" s="1"/>
  <c r="C15" i="1"/>
  <c r="C14" i="1"/>
  <c r="C16" i="1" s="1"/>
  <c r="C13" i="1"/>
  <c r="C8" i="1"/>
  <c r="C9" i="1" s="1"/>
</calcChain>
</file>

<file path=xl/sharedStrings.xml><?xml version="1.0" encoding="utf-8"?>
<sst xmlns="http://schemas.openxmlformats.org/spreadsheetml/2006/main" count="523" uniqueCount="338">
  <si>
    <t>APPENDIX C</t>
  </si>
  <si>
    <t>State and Local Taxes, Fees, and Government Charges on Wireless Service  -- July 1, 2021</t>
  </si>
  <si>
    <t>STATE</t>
  </si>
  <si>
    <t>TYPE</t>
  </si>
  <si>
    <t>RATE</t>
  </si>
  <si>
    <t>COMMENTS</t>
  </si>
  <si>
    <t>Alabama</t>
  </si>
  <si>
    <t>AL Cell Service Tax</t>
  </si>
  <si>
    <t>Access, interstate, and intrastate</t>
  </si>
  <si>
    <t>E911</t>
  </si>
  <si>
    <t>$1.86 per month</t>
  </si>
  <si>
    <t>TOTAL TRANSACTION TAX</t>
  </si>
  <si>
    <t>Alaska</t>
  </si>
  <si>
    <t>Local Sales Tax</t>
  </si>
  <si>
    <t>Avg. of Juneau (5%) and Anchorage (0%)</t>
  </si>
  <si>
    <t>Local E911</t>
  </si>
  <si>
    <t>Anchorage: $2.00 and Juneau: $1.90</t>
  </si>
  <si>
    <t xml:space="preserve">State USF </t>
  </si>
  <si>
    <t>10% times FCC safe harbor</t>
  </si>
  <si>
    <t>TRS</t>
  </si>
  <si>
    <t>$0.01 per line</t>
  </si>
  <si>
    <t>Arizona</t>
  </si>
  <si>
    <t>State sales (transaction priv.)</t>
  </si>
  <si>
    <t>Intrastate telecommunications service</t>
  </si>
  <si>
    <t>County sales (transaction priv.)</t>
  </si>
  <si>
    <t>Avg. of Phoenix (Maricopa) (0.7%) and Tucson (Pima) (0.5%)</t>
  </si>
  <si>
    <t>City telecommunications</t>
  </si>
  <si>
    <t>Avg. Phoenix (4.7%) and Tucson (7.1%)</t>
  </si>
  <si>
    <t>$0.20 per month</t>
  </si>
  <si>
    <t>Arkansas</t>
  </si>
  <si>
    <t>State sales tax</t>
  </si>
  <si>
    <t>Local sales taxes</t>
  </si>
  <si>
    <r>
      <t>Avg. Little R</t>
    </r>
    <r>
      <rPr>
        <sz val="10"/>
        <color theme="1"/>
        <rFont val="Arial"/>
        <family val="2"/>
      </rPr>
      <t>ock (2.5%) and Fa</t>
    </r>
    <r>
      <rPr>
        <sz val="10"/>
        <rFont val="Arial"/>
        <family val="2"/>
      </rPr>
      <t>yetteville (3.5%)</t>
    </r>
  </si>
  <si>
    <t>State High Cost Fund</t>
  </si>
  <si>
    <t>11.25% times FCC safe harbor</t>
  </si>
  <si>
    <t>Wireless 911</t>
  </si>
  <si>
    <t xml:space="preserve">$1.30 per month statewide. </t>
  </si>
  <si>
    <t>TRS service &amp; TRS equipment</t>
  </si>
  <si>
    <t>$0.04 per line per month</t>
  </si>
  <si>
    <t>California</t>
  </si>
  <si>
    <t>Local Utility User Tax</t>
  </si>
  <si>
    <t>Avg. of LA (9%) and Sacramento (7%)</t>
  </si>
  <si>
    <t>State 911</t>
  </si>
  <si>
    <t>$0.30 per line per month</t>
  </si>
  <si>
    <t>PUC fee</t>
  </si>
  <si>
    <t>0.52% times FCC safe harbor</t>
  </si>
  <si>
    <t>ULTS (lifeline)</t>
  </si>
  <si>
    <t>4.75% times FCC safe harbor</t>
  </si>
  <si>
    <t>Deaf/CRS</t>
  </si>
  <si>
    <t>0.50% times FCC safe harbor</t>
  </si>
  <si>
    <t>High Cost Funds A &amp; B</t>
  </si>
  <si>
    <t>0.70% times FCC safe harbor</t>
  </si>
  <si>
    <t>Teleconnect Fund</t>
  </si>
  <si>
    <t>0.78% times FCC safe harbor</t>
  </si>
  <si>
    <t>CASF - advanced services fund</t>
  </si>
  <si>
    <t>1.02% times FCC safe harbor</t>
  </si>
  <si>
    <t>Colorado</t>
  </si>
  <si>
    <t>State Sales Tax</t>
  </si>
  <si>
    <t>Access and intrastate</t>
  </si>
  <si>
    <t>Local Sales Tax -- City/County</t>
  </si>
  <si>
    <t>Avg. of Denver (5.91%) and Colorado Springs (2.23%)</t>
  </si>
  <si>
    <t>$0.10 per line per month</t>
  </si>
  <si>
    <t>County 911</t>
  </si>
  <si>
    <t>Denver: $1.20 and Colorado Springs: $1.35</t>
  </si>
  <si>
    <t>USF</t>
  </si>
  <si>
    <t>2.60% times FCC safe harbor</t>
  </si>
  <si>
    <t>TDD Tax</t>
  </si>
  <si>
    <t>$0.06 per month</t>
  </si>
  <si>
    <t>Connecticut</t>
  </si>
  <si>
    <t>$0.68 per line</t>
  </si>
  <si>
    <t>Delaware</t>
  </si>
  <si>
    <t>Public Utility Gross Receipts Tax</t>
  </si>
  <si>
    <t>Local 911 tax</t>
  </si>
  <si>
    <t>$0.60 per month</t>
  </si>
  <si>
    <t>TRS fee</t>
  </si>
  <si>
    <t>$0.02 per line per month</t>
  </si>
  <si>
    <t>District of Columbia</t>
  </si>
  <si>
    <t>Telecommunication Privilege Tax</t>
  </si>
  <si>
    <t xml:space="preserve">Monthly gross charge; </t>
  </si>
  <si>
    <t>$0.76 per month</t>
  </si>
  <si>
    <t>Florida</t>
  </si>
  <si>
    <t>State Communications services</t>
  </si>
  <si>
    <t>Local Communications services</t>
  </si>
  <si>
    <t>Jacksonville (5.82%) and Tallahassee (6.9%)</t>
  </si>
  <si>
    <t>$0.40 per month statewide</t>
  </si>
  <si>
    <t>Georgia</t>
  </si>
  <si>
    <t xml:space="preserve">4% of "access charge" -- assume $35 </t>
  </si>
  <si>
    <t>Local sales tax</t>
  </si>
  <si>
    <t>Avg. rate Atlanta (4.9%) and Augusta (4%)</t>
  </si>
  <si>
    <t>Local 911</t>
  </si>
  <si>
    <t>$1.50 per line statewide</t>
  </si>
  <si>
    <t>Hawaii</t>
  </si>
  <si>
    <t>Public service company tax</t>
  </si>
  <si>
    <t>Additional county tax</t>
  </si>
  <si>
    <t>PUC Fee</t>
  </si>
  <si>
    <t>0.25% of intrastate charges</t>
  </si>
  <si>
    <t>Wireless 911 fee</t>
  </si>
  <si>
    <t>$0.66 per month</t>
  </si>
  <si>
    <t>Idaho</t>
  </si>
  <si>
    <t>Telephone service assistance program</t>
  </si>
  <si>
    <t>Set annually by PUC  (currently zero)</t>
  </si>
  <si>
    <t>Statewide wireless 911</t>
  </si>
  <si>
    <t xml:space="preserve">Boise: $1.00 per month </t>
  </si>
  <si>
    <t>Illinois</t>
  </si>
  <si>
    <t>State telecom excise tax</t>
  </si>
  <si>
    <t>Simplified municipal tax</t>
  </si>
  <si>
    <t>Avg. of Chicago (7%) and Springfield (6%)</t>
  </si>
  <si>
    <t xml:space="preserve">Chicago: $5 per month and others: $1.50 per month </t>
  </si>
  <si>
    <t>Indiana</t>
  </si>
  <si>
    <t>Utility receipts tax</t>
  </si>
  <si>
    <t>Same base as sales tax</t>
  </si>
  <si>
    <t>$1.00 per month</t>
  </si>
  <si>
    <t>State USF</t>
  </si>
  <si>
    <t>1.40% times FCC safe harbor</t>
  </si>
  <si>
    <t>0.13% times FCC safe harbor</t>
  </si>
  <si>
    <t>$0.03 per line per month</t>
  </si>
  <si>
    <t>Iowa</t>
  </si>
  <si>
    <t>Local option sales taxes</t>
  </si>
  <si>
    <t>Avg. of Cedar Rapids (1%) and Des Moines (1%)</t>
  </si>
  <si>
    <t>Dual Party Relay Service fee</t>
  </si>
  <si>
    <t>$0.03 per month</t>
  </si>
  <si>
    <t>Kansas</t>
  </si>
  <si>
    <t>Intrastate and interstate</t>
  </si>
  <si>
    <t>Avg. of Wichita (1.0%) and Topeka (2.65%)</t>
  </si>
  <si>
    <t>10.84% times FCC safe harbor</t>
  </si>
  <si>
    <t>$0.90 per month per line</t>
  </si>
  <si>
    <t>Kentucky</t>
  </si>
  <si>
    <t>School utility gross receipts</t>
  </si>
  <si>
    <t>Avg. of Frankfort (3%) and Lousiville (0%)</t>
  </si>
  <si>
    <t>Kentucky USF</t>
  </si>
  <si>
    <t>$0.15 per month</t>
  </si>
  <si>
    <t>Kentucky TAP &amp; TRS</t>
  </si>
  <si>
    <t>TAP: $0.02 and TRS: $0.01</t>
  </si>
  <si>
    <t>$0.70 per month</t>
  </si>
  <si>
    <t>Communications gross receipts tax</t>
  </si>
  <si>
    <t>Louisiana</t>
  </si>
  <si>
    <t>Intrastate rate</t>
  </si>
  <si>
    <t>New Orleans: $1.25 per month and Baton Rouge: $0.85 per month</t>
  </si>
  <si>
    <t xml:space="preserve">May vary by carrier </t>
  </si>
  <si>
    <t>$0.05 per line per month</t>
  </si>
  <si>
    <t>Maine</t>
  </si>
  <si>
    <t>State service provider tax</t>
  </si>
  <si>
    <t>911 fee</t>
  </si>
  <si>
    <t>$0.35 per month</t>
  </si>
  <si>
    <t>Maine USF</t>
  </si>
  <si>
    <t>$0.44 per line</t>
  </si>
  <si>
    <t>MTEAF</t>
  </si>
  <si>
    <t>$0.21 per line per month</t>
  </si>
  <si>
    <t>Maryland</t>
  </si>
  <si>
    <t>Local telecom excise</t>
  </si>
  <si>
    <t>Baltimore: $4.00 per month and Annapolis: $0.00</t>
  </si>
  <si>
    <t>$0.50 per month per line</t>
  </si>
  <si>
    <t>Baltimore: $1.00 and Anne Arundel: $0.75</t>
  </si>
  <si>
    <t>$0.05 per account</t>
  </si>
  <si>
    <t>Massachusetts</t>
  </si>
  <si>
    <t>Interstate and intrastate</t>
  </si>
  <si>
    <t>$1.50 per month</t>
  </si>
  <si>
    <t>Michigan</t>
  </si>
  <si>
    <t>State wireless 911</t>
  </si>
  <si>
    <t xml:space="preserve">$0.25 per month </t>
  </si>
  <si>
    <t>County wireless 911</t>
  </si>
  <si>
    <t>Detroit: $0.42 and Lansing: $1.80</t>
  </si>
  <si>
    <t>Intrastate toll assessment</t>
  </si>
  <si>
    <t>0.95% of intrastate charges</t>
  </si>
  <si>
    <t>Minnesota</t>
  </si>
  <si>
    <t>Avg. of Minneapolis (1.15%) and St. Paul (1.0%)</t>
  </si>
  <si>
    <t>$0.95 per month</t>
  </si>
  <si>
    <t>Telecom access MN fund</t>
  </si>
  <si>
    <t>$0.07 per line per month</t>
  </si>
  <si>
    <t>Mississippi</t>
  </si>
  <si>
    <t>Wireless 911 &amp; 911 training fee</t>
  </si>
  <si>
    <t>$1.05 per month per line</t>
  </si>
  <si>
    <t>Missouri</t>
  </si>
  <si>
    <t>Avg. Jefferson City (3.5%) and Kansas City (4.875%)</t>
  </si>
  <si>
    <t>Local business license tax</t>
  </si>
  <si>
    <t xml:space="preserve">Avg. of Jefferson City (7%) and Kansas City (6% residential) </t>
  </si>
  <si>
    <t>Montana</t>
  </si>
  <si>
    <t>Telecom excise tax</t>
  </si>
  <si>
    <t>911 &amp; E911 tax</t>
  </si>
  <si>
    <t>$1.00 per number per month</t>
  </si>
  <si>
    <t>TDD tax</t>
  </si>
  <si>
    <t>$0.10 per number per month</t>
  </si>
  <si>
    <t>Nebraska</t>
  </si>
  <si>
    <t>Avg. of Lincoln (1.75%) and Omaha (1.5%)</t>
  </si>
  <si>
    <t>City business and occupation tax</t>
  </si>
  <si>
    <t>Avg. of Omaha (6.25%) and Lincoln (6.0%)</t>
  </si>
  <si>
    <t>$1.75 per line per month</t>
  </si>
  <si>
    <t>$0.45 per month</t>
  </si>
  <si>
    <t xml:space="preserve"> $0.03 per month</t>
  </si>
  <si>
    <t>Nevada</t>
  </si>
  <si>
    <t>Local franchise / gross receipts</t>
  </si>
  <si>
    <t>5% of first $15 intrastate revenues</t>
  </si>
  <si>
    <t>Washoe County: $0.85 per month and Clark County: $0.00</t>
  </si>
  <si>
    <t>State deaf relay charge</t>
  </si>
  <si>
    <t>$0.06 per access line</t>
  </si>
  <si>
    <t xml:space="preserve">Nevada USF </t>
  </si>
  <si>
    <t>0.38% times FCC Safe Harbor</t>
  </si>
  <si>
    <t>New Hampshire</t>
  </si>
  <si>
    <t>Communication services tax</t>
  </si>
  <si>
    <t>911 tax</t>
  </si>
  <si>
    <t>$0.75 per month</t>
  </si>
  <si>
    <t>New Jersey</t>
  </si>
  <si>
    <t xml:space="preserve">$0.90 per month </t>
  </si>
  <si>
    <t>New Mexico</t>
  </si>
  <si>
    <t>State gross receipts (sales) tax</t>
  </si>
  <si>
    <t xml:space="preserve">Intrastate: 5.125% and interstate: 4.25% </t>
  </si>
  <si>
    <t>City and county gross receipts tax</t>
  </si>
  <si>
    <t>Avg. Santa Fe (3.3125%) and Albuquerque (2.75%)</t>
  </si>
  <si>
    <t>$0.51 per month</t>
  </si>
  <si>
    <t>TRS surcharge</t>
  </si>
  <si>
    <t>0.33% times FCC safe harbor</t>
  </si>
  <si>
    <t>$1.08 per line per month</t>
  </si>
  <si>
    <t>New York</t>
  </si>
  <si>
    <t>Intrastate and monthly access</t>
  </si>
  <si>
    <t>Avg. of NYC (4.5%) and Albany (4%)</t>
  </si>
  <si>
    <t>MCTD sales tax</t>
  </si>
  <si>
    <t>Avg. of NYC (0.375%); and Albany (0%)</t>
  </si>
  <si>
    <t>State excise tax (186e)</t>
  </si>
  <si>
    <t>Mobile telecom service -- includes interstate</t>
  </si>
  <si>
    <t>MCTD excise/surcharge (186c)</t>
  </si>
  <si>
    <t>NYC and surrounding counties: Avg. of 0.72% and Albany 0%</t>
  </si>
  <si>
    <t xml:space="preserve">Local utility gross receipts tax </t>
  </si>
  <si>
    <t>Avg of. NYC (84% of 2.35%) and Albany (1%)</t>
  </si>
  <si>
    <t xml:space="preserve">$1.20 per month </t>
  </si>
  <si>
    <t>Local wireless 911</t>
  </si>
  <si>
    <t>$0.30 per month in NYC &amp; most counties</t>
  </si>
  <si>
    <t xml:space="preserve">School district utility sales tax </t>
  </si>
  <si>
    <t>Albany: 3% and NYC: 0%</t>
  </si>
  <si>
    <t>North Carolina</t>
  </si>
  <si>
    <t>State and loccal sales tax</t>
  </si>
  <si>
    <t>Statewide combined rate includes local rates</t>
  </si>
  <si>
    <t>$0.65 per month</t>
  </si>
  <si>
    <t>TRS Charge</t>
  </si>
  <si>
    <t>$0.08 per month</t>
  </si>
  <si>
    <t>North Dakota</t>
  </si>
  <si>
    <t>Avg Fargo (2.5%) and Bismarck (2.0%)</t>
  </si>
  <si>
    <t>State gross receipts tax</t>
  </si>
  <si>
    <t>Statewide Interoperable Radio Network Tax</t>
  </si>
  <si>
    <t>$0.50 per line per month</t>
  </si>
  <si>
    <t xml:space="preserve">Bismarck: $1.50 and Fargo: $1.50 </t>
  </si>
  <si>
    <t>Up to $0.11 per month (currently $0.03)</t>
  </si>
  <si>
    <t>Ohio</t>
  </si>
  <si>
    <t>Avg. of Columbus (1.75%) and Cleveland (2.25%)</t>
  </si>
  <si>
    <t>Regulatory fee</t>
  </si>
  <si>
    <t>0.174% of intrastate revenues</t>
  </si>
  <si>
    <t>State/local wireless 911</t>
  </si>
  <si>
    <t>$0.25 per month per phone number</t>
  </si>
  <si>
    <t>Oklahoma</t>
  </si>
  <si>
    <t>Avg. of OK City (4.125%) and Tulsa (4.017%)</t>
  </si>
  <si>
    <t>$0.75 per month in OK City and Tulsa</t>
  </si>
  <si>
    <t>6.28% times FCC safe harbor</t>
  </si>
  <si>
    <t>Oregon</t>
  </si>
  <si>
    <t>Local utililty tax</t>
  </si>
  <si>
    <t>No tax on wireless in Portland or Salem</t>
  </si>
  <si>
    <t>$1.25 per month</t>
  </si>
  <si>
    <t>RSPF Surcharge</t>
  </si>
  <si>
    <t>$0.14 per month</t>
  </si>
  <si>
    <t>6% times FCC safe harbor</t>
  </si>
  <si>
    <t>Pennsylvania</t>
  </si>
  <si>
    <t>Avg. of Philadephia (2%) and Harrisburg (0%)</t>
  </si>
  <si>
    <t>$1.65 per month</t>
  </si>
  <si>
    <t>Puerto Rico</t>
  </si>
  <si>
    <t>IVU (Sales Tax)</t>
  </si>
  <si>
    <t>$0.50 per line</t>
  </si>
  <si>
    <t>1.39% times FCC safe harbor</t>
  </si>
  <si>
    <t>Rhode Island</t>
  </si>
  <si>
    <t>Gross receipts tax</t>
  </si>
  <si>
    <t>911 and first responder fee</t>
  </si>
  <si>
    <t>South Carolina</t>
  </si>
  <si>
    <t>Avg. of Charleston (3%) and Columbia (2%)</t>
  </si>
  <si>
    <t>Municipal license tax</t>
  </si>
  <si>
    <t xml:space="preserve">Charleston (1.0%) and Columbia (1.0%) </t>
  </si>
  <si>
    <t>Dual party relay charge</t>
  </si>
  <si>
    <t>2.18% times FCC safe harbor</t>
  </si>
  <si>
    <t>$0.62 per month</t>
  </si>
  <si>
    <t>South Dakota</t>
  </si>
  <si>
    <t>local option sales tax</t>
  </si>
  <si>
    <t>Avg. of Pierre (2.0%) and Sioux Falls (2.0%)</t>
  </si>
  <si>
    <t>911 excise</t>
  </si>
  <si>
    <t>$0.15 per month by statute</t>
  </si>
  <si>
    <t>0.15% of intrastate receipts</t>
  </si>
  <si>
    <t>Tennessee</t>
  </si>
  <si>
    <t xml:space="preserve">Statewide local rate for intrastate </t>
  </si>
  <si>
    <t xml:space="preserve">911 tax </t>
  </si>
  <si>
    <t xml:space="preserve">$1.50 per month </t>
  </si>
  <si>
    <t xml:space="preserve">Texas </t>
  </si>
  <si>
    <r>
      <rPr>
        <sz val="10"/>
        <color theme="1"/>
        <rFont val="Arial"/>
        <family val="2"/>
      </rPr>
      <t>Austin (2.0%</t>
    </r>
    <r>
      <rPr>
        <sz val="10"/>
        <rFont val="Arial"/>
        <family val="2"/>
      </rPr>
      <t>) and Houston (2.0%)</t>
    </r>
  </si>
  <si>
    <t>Wireless 911 tax</t>
  </si>
  <si>
    <t>Texas USF</t>
  </si>
  <si>
    <t>3.3% times FCC safe harbor</t>
  </si>
  <si>
    <t>911 Equalization surcharge</t>
  </si>
  <si>
    <t>$0.06 per line</t>
  </si>
  <si>
    <t>Utah</t>
  </si>
  <si>
    <t>Avg. of Salt Lake City (2.9%) and Provo (2.4%)</t>
  </si>
  <si>
    <t>Local utility wireless</t>
  </si>
  <si>
    <t>Levied at 3.5% max. in SLC and Provo</t>
  </si>
  <si>
    <t>State 911 service charges</t>
  </si>
  <si>
    <t>$0.96 per line per month</t>
  </si>
  <si>
    <t>State Radio Network charge</t>
  </si>
  <si>
    <t>$0.52 per line per month</t>
  </si>
  <si>
    <t>$0.34 per line per month</t>
  </si>
  <si>
    <t xml:space="preserve">Vermont </t>
  </si>
  <si>
    <t>Avg. of Montpelier (0%) and Burlington (1%)</t>
  </si>
  <si>
    <t>State 911/USF</t>
  </si>
  <si>
    <t>Funds 911 and other programs</t>
  </si>
  <si>
    <t>Virginia</t>
  </si>
  <si>
    <t>State communications sales tax</t>
  </si>
  <si>
    <t>$0.82 per month</t>
  </si>
  <si>
    <t>Wireless 988</t>
  </si>
  <si>
    <t xml:space="preserve">$0.12 per month </t>
  </si>
  <si>
    <t>Washington</t>
  </si>
  <si>
    <t>Avg. of Olympia (2.9%) and Seattle (3.75%)</t>
  </si>
  <si>
    <t>B&amp;O / Utility Franchise -- local</t>
  </si>
  <si>
    <t>Avg. of Olympia (9%) and Seattle (6%)</t>
  </si>
  <si>
    <t>911 -- state</t>
  </si>
  <si>
    <t>911 -- local</t>
  </si>
  <si>
    <t>West Virginia</t>
  </si>
  <si>
    <t>No sales tax on wireless</t>
  </si>
  <si>
    <t>Wireless 911 / public safety / tower fee</t>
  </si>
  <si>
    <t>$3.47 per month</t>
  </si>
  <si>
    <t>$0.29 per month</t>
  </si>
  <si>
    <t>Wisconsin</t>
  </si>
  <si>
    <t>Access, intrastate, and interstate</t>
  </si>
  <si>
    <t>Avg. of Milwaukee (0.5%) and Madison (0.5%)</t>
  </si>
  <si>
    <t>Police and Fire Protection Fee</t>
  </si>
  <si>
    <t xml:space="preserve">$0.75 per month </t>
  </si>
  <si>
    <t>0.185% times FCC safe harbor</t>
  </si>
  <si>
    <t>Wyoming</t>
  </si>
  <si>
    <t>Avg. of Cheyenne (2%) and Casper (1%)</t>
  </si>
  <si>
    <t>Up to $0.25/month ($0.04 currently)</t>
  </si>
  <si>
    <t>2.4% times FCC safe harbor</t>
  </si>
  <si>
    <t>$0.75 per month in Cheyenne and Casper</t>
  </si>
  <si>
    <t>ARPU=</t>
  </si>
  <si>
    <t>FCC Safe Harbor =</t>
  </si>
  <si>
    <t>Sources:</t>
  </si>
  <si>
    <t>Methodology:  Committee on State Taxation, 50-State Study and Report on Telecommunications Taxation,</t>
  </si>
  <si>
    <t>May 2005.  Updated July 2021 by Scott Mackey, Leonine Public Affairs LLP, using state statutes and regulations.</t>
  </si>
  <si>
    <t>Average Monthly Revenue Per Unit (ARPU):  $35.31 per Cellular Telephone and Internet Association, July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</si>
</sst>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%"/>
    <numFmt numFmtId="165" formatCode="0.0000%"/>
    <numFmt numFmtId="166" formatCode="0.00000000000000%"/>
    <numFmt numFmtId="167" formatCode="0.000000000000000%"/>
    <numFmt numFmtId="168" formatCode="0.0%"/>
    <numFmt numFmtId="169" formatCode="0.0000"/>
    <numFmt numFmtId="170" formatCode="_(* #,##0_);_(* \(#,##0\);_(* &quot;-&quot;??_);_(@_)"/>
    <numFmt numFmtId="171" formatCode="_(&quot;$&quot;* #,##0_);_(&quot;$&quot;* \(#,##0\);_(&quot;$&quot;* &quot;-&quot;??_);_(@_)"/>
    <numFmt numFmtId="172" formatCode="_(&quot;$&quot;* #,##0_);_(&quot;$&quot;* \(#,##0\);_(&quot;$&quot;* &quot;-&quot;?_);_(@_)"/>
    <numFmt numFmtId="173" formatCode="0.00000%"/>
    <numFmt numFmtId="174" formatCode="0.0000000000%"/>
    <numFmt numFmtId="175" formatCode="0.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FF0000"/>
      <name val="Calibri (Body)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z val="10"/>
      <color theme="1"/>
      <name val="ArialMT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10" fontId="0" fillId="0" borderId="0" xfId="3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3" applyNumberFormat="1" applyFont="1" applyAlignment="1">
      <alignment horizontal="center"/>
    </xf>
    <xf numFmtId="0" fontId="4" fillId="0" borderId="0" xfId="0" applyFont="1" applyAlignment="1">
      <alignment horizontal="left"/>
    </xf>
    <xf numFmtId="10" fontId="5" fillId="0" borderId="0" xfId="3" applyNumberFormat="1" applyFont="1" applyAlignment="1">
      <alignment horizontal="center"/>
    </xf>
    <xf numFmtId="10" fontId="0" fillId="0" borderId="0" xfId="3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0" fontId="8" fillId="0" borderId="0" xfId="3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9" fillId="0" borderId="0" xfId="0" applyFont="1"/>
    <xf numFmtId="44" fontId="0" fillId="0" borderId="0" xfId="0" applyNumberFormat="1"/>
    <xf numFmtId="168" fontId="0" fillId="0" borderId="0" xfId="3" applyNumberFormat="1" applyFont="1"/>
    <xf numFmtId="169" fontId="0" fillId="0" borderId="0" xfId="0" applyNumberFormat="1"/>
    <xf numFmtId="170" fontId="0" fillId="0" borderId="0" xfId="1" applyNumberFormat="1" applyFont="1"/>
    <xf numFmtId="9" fontId="0" fillId="0" borderId="0" xfId="0" applyNumberFormat="1"/>
    <xf numFmtId="44" fontId="0" fillId="0" borderId="0" xfId="2" applyFont="1"/>
    <xf numFmtId="171" fontId="0" fillId="0" borderId="0" xfId="2" applyNumberFormat="1" applyFont="1"/>
    <xf numFmtId="171" fontId="0" fillId="0" borderId="0" xfId="0" applyNumberFormat="1"/>
    <xf numFmtId="170" fontId="0" fillId="0" borderId="0" xfId="0" applyNumberFormat="1"/>
    <xf numFmtId="172" fontId="0" fillId="0" borderId="0" xfId="0" applyNumberFormat="1"/>
    <xf numFmtId="2" fontId="0" fillId="0" borderId="0" xfId="0" applyNumberFormat="1"/>
    <xf numFmtId="173" fontId="0" fillId="0" borderId="0" xfId="0" applyNumberFormat="1"/>
    <xf numFmtId="0" fontId="5" fillId="0" borderId="0" xfId="0" applyFont="1" applyAlignment="1">
      <alignment horizontal="left"/>
    </xf>
    <xf numFmtId="0" fontId="10" fillId="0" borderId="0" xfId="0" applyFont="1"/>
    <xf numFmtId="0" fontId="0" fillId="0" borderId="0" xfId="0" applyAlignment="1">
      <alignment horizontal="center"/>
    </xf>
    <xf numFmtId="174" fontId="0" fillId="0" borderId="0" xfId="0" applyNumberFormat="1"/>
    <xf numFmtId="0" fontId="11" fillId="0" borderId="0" xfId="0" applyFont="1"/>
    <xf numFmtId="0" fontId="12" fillId="0" borderId="0" xfId="0" applyFont="1"/>
    <xf numFmtId="10" fontId="10" fillId="0" borderId="0" xfId="3" applyNumberFormat="1" applyFont="1" applyAlignment="1">
      <alignment horizontal="center"/>
    </xf>
    <xf numFmtId="0" fontId="8" fillId="0" borderId="0" xfId="0" applyFont="1"/>
    <xf numFmtId="175" fontId="0" fillId="0" borderId="0" xfId="0" applyNumberFormat="1"/>
    <xf numFmtId="44" fontId="4" fillId="0" borderId="0" xfId="0" applyNumberFormat="1" applyFont="1"/>
    <xf numFmtId="168" fontId="4" fillId="0" borderId="0" xfId="3" applyNumberFormat="1" applyFont="1"/>
    <xf numFmtId="0" fontId="13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0ECED-A90F-754E-B4D2-165CBB634A96}">
  <dimension ref="A1:N394"/>
  <sheetViews>
    <sheetView tabSelected="1" workbookViewId="0">
      <selection activeCell="E375" sqref="E375"/>
    </sheetView>
  </sheetViews>
  <sheetFormatPr baseColWidth="10" defaultColWidth="8.83203125" defaultRowHeight="15"/>
  <cols>
    <col min="1" max="1" width="13.6640625" customWidth="1"/>
    <col min="2" max="2" width="39.83203125" customWidth="1"/>
    <col min="4" max="4" width="49.5" customWidth="1"/>
    <col min="7" max="7" width="11.5" customWidth="1"/>
    <col min="8" max="8" width="14.83203125" customWidth="1"/>
    <col min="9" max="9" width="36.5" customWidth="1"/>
    <col min="10" max="10" width="20.5" bestFit="1" customWidth="1"/>
    <col min="11" max="11" width="12.1640625" bestFit="1" customWidth="1"/>
    <col min="12" max="12" width="13.33203125" customWidth="1"/>
    <col min="13" max="13" width="10.1640625" bestFit="1" customWidth="1"/>
  </cols>
  <sheetData>
    <row r="1" spans="1:7" ht="16">
      <c r="A1" s="1" t="s">
        <v>0</v>
      </c>
      <c r="B1" s="2"/>
      <c r="C1" s="2"/>
      <c r="D1" s="2"/>
    </row>
    <row r="2" spans="1:7">
      <c r="A2" s="3" t="s">
        <v>1</v>
      </c>
      <c r="B2" s="4"/>
      <c r="C2" s="4"/>
      <c r="D2" s="4"/>
    </row>
    <row r="3" spans="1:7">
      <c r="A3" s="5"/>
      <c r="C3" s="6"/>
    </row>
    <row r="4" spans="1:7">
      <c r="A4" s="5" t="s">
        <v>2</v>
      </c>
      <c r="B4" s="7" t="s">
        <v>3</v>
      </c>
      <c r="C4" s="8" t="s">
        <v>4</v>
      </c>
      <c r="D4" s="9" t="s">
        <v>5</v>
      </c>
    </row>
    <row r="5" spans="1:7">
      <c r="A5" s="5"/>
      <c r="C5" s="6"/>
    </row>
    <row r="6" spans="1:7">
      <c r="A6" s="5" t="s">
        <v>6</v>
      </c>
      <c r="C6" s="6"/>
    </row>
    <row r="7" spans="1:7">
      <c r="A7" s="5"/>
      <c r="B7" t="s">
        <v>7</v>
      </c>
      <c r="C7" s="10">
        <v>0.06</v>
      </c>
      <c r="D7" t="s">
        <v>8</v>
      </c>
    </row>
    <row r="8" spans="1:7">
      <c r="A8" s="5"/>
      <c r="B8" t="s">
        <v>9</v>
      </c>
      <c r="C8" s="10">
        <f>1.86/A377</f>
        <v>5.2676295666949875E-2</v>
      </c>
      <c r="D8" t="s">
        <v>10</v>
      </c>
    </row>
    <row r="9" spans="1:7">
      <c r="A9" s="5"/>
      <c r="B9" s="5" t="s">
        <v>11</v>
      </c>
      <c r="C9" s="8">
        <f>SUM(C7:C8)</f>
        <v>0.11267629566694987</v>
      </c>
      <c r="G9" s="11"/>
    </row>
    <row r="10" spans="1:7">
      <c r="A10" s="5"/>
      <c r="C10" s="6"/>
    </row>
    <row r="11" spans="1:7">
      <c r="A11" s="5" t="s">
        <v>12</v>
      </c>
      <c r="C11" s="6"/>
    </row>
    <row r="12" spans="1:7">
      <c r="A12" s="5"/>
      <c r="B12" t="s">
        <v>13</v>
      </c>
      <c r="C12" s="10">
        <v>2.5000000000000001E-2</v>
      </c>
      <c r="D12" t="s">
        <v>14</v>
      </c>
    </row>
    <row r="13" spans="1:7">
      <c r="A13" s="12"/>
      <c r="B13" s="12" t="s">
        <v>15</v>
      </c>
      <c r="C13" s="10">
        <f>((2+1.9)/2)/A377</f>
        <v>5.5225148683092605E-2</v>
      </c>
      <c r="D13" t="s">
        <v>16</v>
      </c>
    </row>
    <row r="14" spans="1:7">
      <c r="A14" s="5"/>
      <c r="B14" s="12" t="s">
        <v>17</v>
      </c>
      <c r="C14" s="10">
        <f>10%*$A$379</f>
        <v>6.2899999999999998E-2</v>
      </c>
      <c r="D14" t="s">
        <v>18</v>
      </c>
    </row>
    <row r="15" spans="1:7">
      <c r="A15" s="5"/>
      <c r="B15" s="12" t="s">
        <v>19</v>
      </c>
      <c r="C15" s="10">
        <f>0.01/A377</f>
        <v>2.8320589068252618E-4</v>
      </c>
      <c r="D15" t="s">
        <v>20</v>
      </c>
    </row>
    <row r="16" spans="1:7">
      <c r="A16" s="5"/>
      <c r="B16" s="5" t="s">
        <v>11</v>
      </c>
      <c r="C16" s="8">
        <f>SUM(C12:C15)</f>
        <v>0.14340835457377515</v>
      </c>
      <c r="D16" s="13"/>
    </row>
    <row r="17" spans="1:6">
      <c r="A17" s="5"/>
      <c r="C17" s="6"/>
    </row>
    <row r="18" spans="1:6">
      <c r="A18" s="5" t="s">
        <v>21</v>
      </c>
      <c r="C18" s="6"/>
    </row>
    <row r="19" spans="1:6">
      <c r="A19" s="5"/>
      <c r="B19" t="s">
        <v>22</v>
      </c>
      <c r="C19" s="10">
        <v>5.6000000000000001E-2</v>
      </c>
      <c r="D19" t="s">
        <v>23</v>
      </c>
      <c r="F19" s="14"/>
    </row>
    <row r="20" spans="1:6">
      <c r="A20" s="5"/>
      <c r="B20" s="12" t="s">
        <v>24</v>
      </c>
      <c r="C20" s="10">
        <v>6.0000000000000001E-3</v>
      </c>
      <c r="D20" t="s">
        <v>25</v>
      </c>
    </row>
    <row r="21" spans="1:6">
      <c r="A21" s="5"/>
      <c r="B21" t="s">
        <v>26</v>
      </c>
      <c r="C21" s="15">
        <f>0.118/2</f>
        <v>5.8999999999999997E-2</v>
      </c>
      <c r="D21" t="s">
        <v>27</v>
      </c>
    </row>
    <row r="22" spans="1:6">
      <c r="A22" s="5"/>
      <c r="B22" s="16">
        <v>911</v>
      </c>
      <c r="C22" s="10">
        <f>0.2/A377</f>
        <v>5.6641178136505235E-3</v>
      </c>
      <c r="D22" t="s">
        <v>28</v>
      </c>
    </row>
    <row r="23" spans="1:6">
      <c r="A23" s="5"/>
      <c r="B23" s="5" t="s">
        <v>11</v>
      </c>
      <c r="C23" s="8">
        <f>SUM(C19:C22)</f>
        <v>0.12666411781365053</v>
      </c>
    </row>
    <row r="24" spans="1:6">
      <c r="A24" s="5"/>
      <c r="C24" s="6"/>
    </row>
    <row r="25" spans="1:6">
      <c r="A25" s="5" t="s">
        <v>29</v>
      </c>
      <c r="C25" s="6"/>
    </row>
    <row r="26" spans="1:6">
      <c r="A26" s="5"/>
      <c r="B26" t="s">
        <v>30</v>
      </c>
      <c r="C26" s="10">
        <v>6.5000000000000002E-2</v>
      </c>
      <c r="D26" s="12"/>
    </row>
    <row r="27" spans="1:6">
      <c r="A27" s="5"/>
      <c r="B27" t="s">
        <v>31</v>
      </c>
      <c r="C27" s="10">
        <f>(2.5%+3.25%)/2</f>
        <v>2.8750000000000001E-2</v>
      </c>
      <c r="D27" t="s">
        <v>32</v>
      </c>
    </row>
    <row r="28" spans="1:6">
      <c r="A28" s="5"/>
      <c r="B28" s="12" t="s">
        <v>33</v>
      </c>
      <c r="C28" s="10">
        <f>11.25%*$A$379</f>
        <v>7.0762500000000006E-2</v>
      </c>
      <c r="D28" t="s">
        <v>34</v>
      </c>
      <c r="F28" s="14"/>
    </row>
    <row r="29" spans="1:6">
      <c r="A29" s="5"/>
      <c r="B29" t="s">
        <v>35</v>
      </c>
      <c r="C29" s="10">
        <f>1.3/A377</f>
        <v>3.6816765788728403E-2</v>
      </c>
      <c r="D29" t="s">
        <v>36</v>
      </c>
    </row>
    <row r="30" spans="1:6">
      <c r="A30" s="5"/>
      <c r="B30" s="12" t="s">
        <v>37</v>
      </c>
      <c r="C30" s="10">
        <f>0.04/A377</f>
        <v>1.1328235627301047E-3</v>
      </c>
      <c r="D30" t="s">
        <v>38</v>
      </c>
    </row>
    <row r="31" spans="1:6">
      <c r="A31" s="5"/>
      <c r="B31" s="5" t="s">
        <v>11</v>
      </c>
      <c r="C31" s="8">
        <f>SUM(C26:C30)</f>
        <v>0.20246208935145851</v>
      </c>
    </row>
    <row r="32" spans="1:6">
      <c r="A32" s="5"/>
      <c r="C32" s="6"/>
    </row>
    <row r="33" spans="1:9">
      <c r="A33" s="5" t="s">
        <v>39</v>
      </c>
      <c r="C33" s="6"/>
    </row>
    <row r="34" spans="1:9">
      <c r="A34" s="5"/>
      <c r="B34" s="12" t="s">
        <v>40</v>
      </c>
      <c r="C34" s="10">
        <v>0.08</v>
      </c>
      <c r="D34" t="s">
        <v>41</v>
      </c>
      <c r="I34" s="17"/>
    </row>
    <row r="35" spans="1:9">
      <c r="A35" s="5"/>
      <c r="B35" s="16" t="s">
        <v>42</v>
      </c>
      <c r="C35" s="10">
        <f>0.3/A377</f>
        <v>8.4961767204757843E-3</v>
      </c>
      <c r="D35" t="s">
        <v>43</v>
      </c>
      <c r="F35" s="18"/>
    </row>
    <row r="36" spans="1:9">
      <c r="A36" s="5"/>
      <c r="B36" t="s">
        <v>44</v>
      </c>
      <c r="C36" s="10">
        <f>0.52%*A379</f>
        <v>3.2707999999999999E-3</v>
      </c>
      <c r="D36" t="s">
        <v>45</v>
      </c>
      <c r="F36" s="18"/>
    </row>
    <row r="37" spans="1:9">
      <c r="A37" s="5"/>
      <c r="B37" t="s">
        <v>46</v>
      </c>
      <c r="C37" s="10">
        <f>4.75%*A379</f>
        <v>2.9877500000000001E-2</v>
      </c>
      <c r="D37" t="s">
        <v>47</v>
      </c>
      <c r="F37" s="18"/>
    </row>
    <row r="38" spans="1:9">
      <c r="A38" s="5"/>
      <c r="B38" t="s">
        <v>48</v>
      </c>
      <c r="C38" s="10">
        <f>0.5%*A379</f>
        <v>3.1450000000000002E-3</v>
      </c>
      <c r="D38" t="s">
        <v>49</v>
      </c>
      <c r="F38" s="18"/>
      <c r="H38" s="18"/>
    </row>
    <row r="39" spans="1:9">
      <c r="A39" s="5"/>
      <c r="B39" t="s">
        <v>50</v>
      </c>
      <c r="C39" s="10">
        <f>0.7%*A379</f>
        <v>4.4029999999999998E-3</v>
      </c>
      <c r="D39" t="s">
        <v>51</v>
      </c>
      <c r="E39" s="18"/>
      <c r="F39" s="18"/>
      <c r="H39" s="19"/>
    </row>
    <row r="40" spans="1:9">
      <c r="A40" s="5"/>
      <c r="B40" t="s">
        <v>52</v>
      </c>
      <c r="C40" s="6">
        <f>0.78%*A379</f>
        <v>4.9062000000000003E-3</v>
      </c>
      <c r="D40" t="s">
        <v>53</v>
      </c>
      <c r="F40" s="18"/>
    </row>
    <row r="41" spans="1:9">
      <c r="A41" s="5"/>
      <c r="B41" t="s">
        <v>54</v>
      </c>
      <c r="C41" s="6">
        <f>1.019%*(A379)</f>
        <v>6.4095099999999993E-3</v>
      </c>
      <c r="D41" t="s">
        <v>55</v>
      </c>
      <c r="F41" s="18"/>
    </row>
    <row r="42" spans="1:9">
      <c r="A42" s="5"/>
      <c r="B42" s="5" t="s">
        <v>11</v>
      </c>
      <c r="C42" s="8">
        <f>SUM(C34:C41)</f>
        <v>0.1405081867204758</v>
      </c>
      <c r="F42" s="18"/>
    </row>
    <row r="43" spans="1:9">
      <c r="A43" s="5"/>
      <c r="C43" s="6"/>
    </row>
    <row r="44" spans="1:9">
      <c r="A44" s="5" t="s">
        <v>56</v>
      </c>
      <c r="B44" s="16"/>
      <c r="C44" s="6"/>
    </row>
    <row r="45" spans="1:9">
      <c r="A45" s="5"/>
      <c r="B45" s="16" t="s">
        <v>57</v>
      </c>
      <c r="C45" s="10">
        <v>2.9000000000000001E-2</v>
      </c>
      <c r="D45" t="s">
        <v>58</v>
      </c>
    </row>
    <row r="46" spans="1:9">
      <c r="A46" s="5"/>
      <c r="B46" s="16" t="s">
        <v>59</v>
      </c>
      <c r="C46" s="10">
        <f>(5.91%+2.23%)/2</f>
        <v>4.07E-2</v>
      </c>
      <c r="D46" t="s">
        <v>60</v>
      </c>
      <c r="H46" s="14"/>
    </row>
    <row r="47" spans="1:9">
      <c r="A47" s="5"/>
      <c r="B47" s="16" t="s">
        <v>42</v>
      </c>
      <c r="C47" s="10">
        <f>0.1/A377</f>
        <v>2.8320589068252617E-3</v>
      </c>
      <c r="D47" t="s">
        <v>61</v>
      </c>
    </row>
    <row r="48" spans="1:9">
      <c r="A48" s="5"/>
      <c r="B48" s="16" t="s">
        <v>62</v>
      </c>
      <c r="C48" s="10">
        <f>(2.58/2)/A377</f>
        <v>3.6533559898045881E-2</v>
      </c>
      <c r="D48" t="s">
        <v>63</v>
      </c>
    </row>
    <row r="49" spans="1:4">
      <c r="A49" s="5"/>
      <c r="B49" t="s">
        <v>64</v>
      </c>
      <c r="C49" s="10">
        <f>2.6%*$A$379</f>
        <v>1.6354E-2</v>
      </c>
      <c r="D49" t="s">
        <v>65</v>
      </c>
    </row>
    <row r="50" spans="1:4">
      <c r="A50" s="5"/>
      <c r="B50" t="s">
        <v>66</v>
      </c>
      <c r="C50" s="10">
        <f>0.06/A377</f>
        <v>1.699235344095157E-3</v>
      </c>
      <c r="D50" t="s">
        <v>67</v>
      </c>
    </row>
    <row r="51" spans="1:4">
      <c r="A51" s="5"/>
      <c r="B51" s="5" t="s">
        <v>11</v>
      </c>
      <c r="C51" s="8">
        <f>SUM(C45:C50)</f>
        <v>0.12711885414896631</v>
      </c>
    </row>
    <row r="52" spans="1:4">
      <c r="A52" s="5"/>
      <c r="C52" s="6"/>
    </row>
    <row r="53" spans="1:4">
      <c r="A53" s="5" t="s">
        <v>68</v>
      </c>
      <c r="C53" s="6"/>
    </row>
    <row r="54" spans="1:4">
      <c r="A54" s="5"/>
      <c r="B54" t="s">
        <v>30</v>
      </c>
      <c r="C54" s="10">
        <v>6.3500000000000001E-2</v>
      </c>
      <c r="D54" t="s">
        <v>8</v>
      </c>
    </row>
    <row r="55" spans="1:4">
      <c r="A55" s="5"/>
      <c r="B55" s="16">
        <v>911</v>
      </c>
      <c r="C55" s="10">
        <f>0.68/A377</f>
        <v>1.9258000566411783E-2</v>
      </c>
      <c r="D55" t="s">
        <v>69</v>
      </c>
    </row>
    <row r="56" spans="1:4">
      <c r="A56" s="5"/>
      <c r="B56" s="5" t="s">
        <v>11</v>
      </c>
      <c r="C56" s="8">
        <f>SUM(C54:C55)</f>
        <v>8.2758000566411777E-2</v>
      </c>
      <c r="D56" s="13"/>
    </row>
    <row r="57" spans="1:4">
      <c r="A57" s="5"/>
      <c r="C57" s="6"/>
    </row>
    <row r="58" spans="1:4">
      <c r="A58" s="5" t="s">
        <v>70</v>
      </c>
      <c r="C58" s="6"/>
    </row>
    <row r="59" spans="1:4">
      <c r="A59" s="5"/>
      <c r="B59" t="s">
        <v>71</v>
      </c>
      <c r="C59" s="10">
        <v>0.05</v>
      </c>
      <c r="D59" t="s">
        <v>58</v>
      </c>
    </row>
    <row r="60" spans="1:4">
      <c r="A60" s="5"/>
      <c r="B60" s="12" t="s">
        <v>72</v>
      </c>
      <c r="C60" s="10">
        <f>0.6/A377</f>
        <v>1.6992353440951569E-2</v>
      </c>
      <c r="D60" t="s">
        <v>73</v>
      </c>
    </row>
    <row r="61" spans="1:4">
      <c r="A61" s="5"/>
      <c r="B61" s="12" t="s">
        <v>74</v>
      </c>
      <c r="C61" s="10">
        <f>0.02/A377</f>
        <v>5.6641178136505237E-4</v>
      </c>
      <c r="D61" t="s">
        <v>75</v>
      </c>
    </row>
    <row r="62" spans="1:4">
      <c r="A62" s="5"/>
      <c r="B62" s="5" t="s">
        <v>11</v>
      </c>
      <c r="C62" s="8">
        <f>SUM(C59:C61)</f>
        <v>6.755876522231663E-2</v>
      </c>
    </row>
    <row r="63" spans="1:4">
      <c r="A63" s="5"/>
      <c r="C63" s="6"/>
    </row>
    <row r="64" spans="1:4">
      <c r="A64" s="5" t="s">
        <v>76</v>
      </c>
      <c r="C64" s="6"/>
    </row>
    <row r="65" spans="1:10">
      <c r="A65" s="5"/>
      <c r="B65" t="s">
        <v>77</v>
      </c>
      <c r="C65" s="10">
        <v>0.1</v>
      </c>
      <c r="D65" t="s">
        <v>78</v>
      </c>
    </row>
    <row r="66" spans="1:10">
      <c r="A66" s="5"/>
      <c r="B66" s="16">
        <v>911</v>
      </c>
      <c r="C66" s="10">
        <f>0.76/A377</f>
        <v>2.152364769187199E-2</v>
      </c>
      <c r="D66" t="s">
        <v>79</v>
      </c>
    </row>
    <row r="67" spans="1:10">
      <c r="A67" s="5"/>
      <c r="B67" s="5" t="s">
        <v>11</v>
      </c>
      <c r="C67" s="8">
        <f>SUM(C65:C66)</f>
        <v>0.12152364769187199</v>
      </c>
    </row>
    <row r="68" spans="1:10">
      <c r="A68" s="5"/>
      <c r="C68" s="6"/>
    </row>
    <row r="69" spans="1:10">
      <c r="A69" s="5" t="s">
        <v>80</v>
      </c>
      <c r="C69" s="6"/>
      <c r="I69" s="20"/>
    </row>
    <row r="70" spans="1:10">
      <c r="A70" s="12"/>
      <c r="B70" t="s">
        <v>81</v>
      </c>
      <c r="C70" s="10">
        <f>7.44%</f>
        <v>7.4400000000000008E-2</v>
      </c>
      <c r="D70" t="s">
        <v>8</v>
      </c>
      <c r="J70" s="21"/>
    </row>
    <row r="71" spans="1:10">
      <c r="A71" s="5"/>
      <c r="B71" s="12" t="s">
        <v>82</v>
      </c>
      <c r="C71" s="10">
        <f>(6.02%+6.9%)/2</f>
        <v>6.4600000000000005E-2</v>
      </c>
      <c r="D71" t="s">
        <v>83</v>
      </c>
    </row>
    <row r="72" spans="1:10">
      <c r="A72" s="5"/>
      <c r="B72" s="16">
        <v>911</v>
      </c>
      <c r="C72" s="10">
        <f>0.4/A377</f>
        <v>1.1328235627301047E-2</v>
      </c>
      <c r="D72" t="s">
        <v>84</v>
      </c>
    </row>
    <row r="73" spans="1:10">
      <c r="A73" s="5"/>
      <c r="B73" s="5" t="s">
        <v>11</v>
      </c>
      <c r="C73" s="8">
        <f>SUM(C70:C72)</f>
        <v>0.15032823562730105</v>
      </c>
    </row>
    <row r="74" spans="1:10">
      <c r="A74" s="5"/>
      <c r="C74" s="6"/>
    </row>
    <row r="75" spans="1:10">
      <c r="A75" s="5" t="s">
        <v>85</v>
      </c>
      <c r="C75" s="6"/>
      <c r="H75" s="11"/>
    </row>
    <row r="76" spans="1:10">
      <c r="A76" s="5"/>
      <c r="B76" t="s">
        <v>30</v>
      </c>
      <c r="C76" s="10">
        <f>(35/A377)*0.04</f>
        <v>3.9648824695553662E-2</v>
      </c>
      <c r="D76" t="s">
        <v>86</v>
      </c>
    </row>
    <row r="77" spans="1:10">
      <c r="A77" s="5"/>
      <c r="B77" t="s">
        <v>87</v>
      </c>
      <c r="C77" s="10">
        <f>(35/A377)*0.0445</f>
        <v>4.410931747380345E-2</v>
      </c>
      <c r="D77" t="s">
        <v>88</v>
      </c>
    </row>
    <row r="78" spans="1:10">
      <c r="A78" s="5"/>
      <c r="B78" t="s">
        <v>89</v>
      </c>
      <c r="C78" s="10">
        <f>1.5/A377</f>
        <v>4.2480883602378929E-2</v>
      </c>
      <c r="D78" t="s">
        <v>90</v>
      </c>
    </row>
    <row r="79" spans="1:10">
      <c r="A79" s="5"/>
      <c r="B79" s="5" t="s">
        <v>11</v>
      </c>
      <c r="C79" s="8">
        <f>SUM(C76:C78)</f>
        <v>0.12623902577173604</v>
      </c>
    </row>
    <row r="80" spans="1:10">
      <c r="A80" s="5"/>
      <c r="C80" s="6"/>
    </row>
    <row r="81" spans="1:11">
      <c r="A81" s="5" t="s">
        <v>91</v>
      </c>
      <c r="C81" s="6"/>
      <c r="K81" s="18"/>
    </row>
    <row r="82" spans="1:11">
      <c r="A82" s="5"/>
      <c r="B82" t="s">
        <v>92</v>
      </c>
      <c r="C82" s="10">
        <v>0.04</v>
      </c>
      <c r="K82" s="18"/>
    </row>
    <row r="83" spans="1:11">
      <c r="A83" s="5"/>
      <c r="B83" t="s">
        <v>93</v>
      </c>
      <c r="C83" s="10">
        <v>1.8849999999999999E-2</v>
      </c>
      <c r="F83" s="14"/>
    </row>
    <row r="84" spans="1:11">
      <c r="A84" s="5"/>
      <c r="B84" t="s">
        <v>94</v>
      </c>
      <c r="C84" s="10">
        <f>0.0025*A379</f>
        <v>1.5725000000000001E-3</v>
      </c>
      <c r="D84" t="s">
        <v>95</v>
      </c>
    </row>
    <row r="85" spans="1:11">
      <c r="A85" s="5"/>
      <c r="B85" t="s">
        <v>96</v>
      </c>
      <c r="C85" s="10">
        <f>0.66/A377</f>
        <v>1.8691588785046728E-2</v>
      </c>
      <c r="D85" t="s">
        <v>97</v>
      </c>
    </row>
    <row r="86" spans="1:11">
      <c r="A86" s="5"/>
      <c r="B86" s="5" t="s">
        <v>11</v>
      </c>
      <c r="C86" s="8">
        <f>SUM(C82:C85)</f>
        <v>7.9114088785046721E-2</v>
      </c>
    </row>
    <row r="87" spans="1:11">
      <c r="A87" s="5"/>
      <c r="B87" s="5"/>
      <c r="C87" s="8"/>
    </row>
    <row r="88" spans="1:11">
      <c r="A88" s="5" t="s">
        <v>98</v>
      </c>
      <c r="B88" s="5"/>
      <c r="C88" s="8"/>
      <c r="G88" s="22"/>
    </row>
    <row r="89" spans="1:11">
      <c r="A89" s="5"/>
      <c r="B89" s="12" t="s">
        <v>99</v>
      </c>
      <c r="C89" s="10">
        <v>0</v>
      </c>
      <c r="D89" t="s">
        <v>100</v>
      </c>
    </row>
    <row r="90" spans="1:11">
      <c r="A90" s="5"/>
      <c r="B90" s="12" t="s">
        <v>101</v>
      </c>
      <c r="C90" s="10">
        <f>1/A377</f>
        <v>2.8320589068252619E-2</v>
      </c>
      <c r="D90" t="s">
        <v>102</v>
      </c>
    </row>
    <row r="91" spans="1:11">
      <c r="A91" s="5"/>
      <c r="B91" s="5" t="s">
        <v>11</v>
      </c>
      <c r="C91" s="8">
        <f>SUM(C89:C90)</f>
        <v>2.8320589068252619E-2</v>
      </c>
    </row>
    <row r="92" spans="1:11">
      <c r="A92" s="5"/>
      <c r="B92" s="5"/>
      <c r="C92" s="8"/>
    </row>
    <row r="93" spans="1:11">
      <c r="A93" s="5" t="s">
        <v>103</v>
      </c>
      <c r="B93" s="5"/>
      <c r="C93" s="8"/>
      <c r="H93" s="23"/>
      <c r="J93" s="11"/>
    </row>
    <row r="94" spans="1:11">
      <c r="A94" s="5"/>
      <c r="B94" s="12" t="s">
        <v>104</v>
      </c>
      <c r="C94" s="10">
        <v>7.0000000000000007E-2</v>
      </c>
      <c r="D94" t="s">
        <v>8</v>
      </c>
      <c r="H94" s="24"/>
      <c r="J94" s="25"/>
    </row>
    <row r="95" spans="1:11">
      <c r="A95" s="5"/>
      <c r="B95" s="12" t="s">
        <v>105</v>
      </c>
      <c r="C95" s="10">
        <f>(7%+6%)/2</f>
        <v>6.5000000000000002E-2</v>
      </c>
      <c r="D95" t="s">
        <v>106</v>
      </c>
      <c r="I95" s="11"/>
    </row>
    <row r="96" spans="1:11">
      <c r="A96" s="5"/>
      <c r="B96" s="12" t="s">
        <v>35</v>
      </c>
      <c r="C96" s="10">
        <f>(5+1.5)/2/A377</f>
        <v>9.2041914471821001E-2</v>
      </c>
      <c r="D96" t="s">
        <v>107</v>
      </c>
      <c r="I96" s="11"/>
    </row>
    <row r="97" spans="1:12">
      <c r="A97" s="5"/>
      <c r="B97" s="12" t="s">
        <v>74</v>
      </c>
      <c r="C97" s="10">
        <f>0.02/A377</f>
        <v>5.6641178136505237E-4</v>
      </c>
      <c r="D97" t="s">
        <v>75</v>
      </c>
    </row>
    <row r="98" spans="1:12">
      <c r="A98" s="5"/>
      <c r="B98" s="5" t="s">
        <v>11</v>
      </c>
      <c r="C98" s="8">
        <f>SUM(C94:C97)</f>
        <v>0.22760832625318606</v>
      </c>
      <c r="D98" s="12"/>
    </row>
    <row r="99" spans="1:12">
      <c r="A99" s="5"/>
      <c r="B99" s="12"/>
      <c r="C99" s="10"/>
      <c r="D99" s="12"/>
    </row>
    <row r="100" spans="1:12">
      <c r="A100" s="5" t="s">
        <v>108</v>
      </c>
      <c r="B100" s="12"/>
      <c r="C100" s="10"/>
      <c r="D100" s="12"/>
    </row>
    <row r="101" spans="1:12">
      <c r="A101" s="5"/>
      <c r="B101" s="12" t="s">
        <v>30</v>
      </c>
      <c r="C101" s="10">
        <v>7.0000000000000007E-2</v>
      </c>
      <c r="D101" t="s">
        <v>58</v>
      </c>
    </row>
    <row r="102" spans="1:12">
      <c r="A102" s="5"/>
      <c r="B102" s="12" t="s">
        <v>109</v>
      </c>
      <c r="C102" s="10">
        <v>1.4E-2</v>
      </c>
      <c r="D102" t="s">
        <v>110</v>
      </c>
    </row>
    <row r="103" spans="1:12">
      <c r="A103" s="5"/>
      <c r="B103" s="12" t="s">
        <v>35</v>
      </c>
      <c r="C103" s="10">
        <f>1/A377</f>
        <v>2.8320589068252619E-2</v>
      </c>
      <c r="D103" t="s">
        <v>111</v>
      </c>
    </row>
    <row r="104" spans="1:12">
      <c r="A104" s="5"/>
      <c r="B104" s="12" t="s">
        <v>112</v>
      </c>
      <c r="C104" s="10">
        <f>1.4%*$A$379</f>
        <v>8.8059999999999996E-3</v>
      </c>
      <c r="D104" t="s">
        <v>113</v>
      </c>
    </row>
    <row r="105" spans="1:12">
      <c r="A105" s="5"/>
      <c r="B105" s="12" t="s">
        <v>44</v>
      </c>
      <c r="C105" s="10">
        <f>0.1276%*A379</f>
        <v>8.0260400000000006E-4</v>
      </c>
      <c r="D105" t="s">
        <v>114</v>
      </c>
    </row>
    <row r="106" spans="1:12">
      <c r="A106" s="5"/>
      <c r="B106" s="12" t="s">
        <v>74</v>
      </c>
      <c r="C106" s="10">
        <f>0.03/A377</f>
        <v>8.496176720475785E-4</v>
      </c>
      <c r="D106" t="s">
        <v>115</v>
      </c>
    </row>
    <row r="107" spans="1:12">
      <c r="A107" s="5"/>
      <c r="B107" s="5" t="s">
        <v>11</v>
      </c>
      <c r="C107" s="8">
        <f>SUM(C101:C106)</f>
        <v>0.1227788107403002</v>
      </c>
      <c r="D107" s="12"/>
    </row>
    <row r="108" spans="1:12">
      <c r="A108" s="5"/>
      <c r="B108" s="12"/>
      <c r="C108" s="10"/>
      <c r="D108" s="12"/>
    </row>
    <row r="109" spans="1:12">
      <c r="A109" s="5" t="s">
        <v>116</v>
      </c>
      <c r="C109" s="6"/>
    </row>
    <row r="110" spans="1:12">
      <c r="A110" s="5"/>
      <c r="B110" t="s">
        <v>30</v>
      </c>
      <c r="C110" s="10">
        <v>0.06</v>
      </c>
    </row>
    <row r="111" spans="1:12">
      <c r="A111" s="5"/>
      <c r="B111" s="12" t="s">
        <v>117</v>
      </c>
      <c r="C111" s="10">
        <v>0.01</v>
      </c>
      <c r="D111" t="s">
        <v>118</v>
      </c>
    </row>
    <row r="112" spans="1:12">
      <c r="A112" s="5"/>
      <c r="B112" s="12" t="s">
        <v>35</v>
      </c>
      <c r="C112" s="10">
        <f>1/A377</f>
        <v>2.8320589068252619E-2</v>
      </c>
      <c r="D112" t="s">
        <v>111</v>
      </c>
      <c r="L112" s="26"/>
    </row>
    <row r="113" spans="1:12">
      <c r="A113" s="5"/>
      <c r="B113" s="12" t="s">
        <v>119</v>
      </c>
      <c r="C113" s="10">
        <f>0.03/A377</f>
        <v>8.496176720475785E-4</v>
      </c>
      <c r="D113" t="s">
        <v>120</v>
      </c>
      <c r="L113" s="27"/>
    </row>
    <row r="114" spans="1:12">
      <c r="A114" s="5"/>
      <c r="B114" s="5" t="s">
        <v>11</v>
      </c>
      <c r="C114" s="8">
        <f>SUM(C110:C113)</f>
        <v>9.9170206740300193E-2</v>
      </c>
      <c r="L114" s="26"/>
    </row>
    <row r="115" spans="1:12">
      <c r="A115" s="5"/>
      <c r="C115" s="6"/>
      <c r="L115" s="26"/>
    </row>
    <row r="116" spans="1:12">
      <c r="A116" s="5" t="s">
        <v>121</v>
      </c>
      <c r="C116" s="6"/>
      <c r="L116" s="27"/>
    </row>
    <row r="117" spans="1:12">
      <c r="A117" s="5"/>
      <c r="B117" t="s">
        <v>30</v>
      </c>
      <c r="C117" s="10">
        <v>6.5000000000000002E-2</v>
      </c>
      <c r="D117" t="s">
        <v>122</v>
      </c>
      <c r="L117" s="26"/>
    </row>
    <row r="118" spans="1:12">
      <c r="A118" s="5"/>
      <c r="B118" t="s">
        <v>117</v>
      </c>
      <c r="C118" s="10">
        <f>(1%+2.65%)/2</f>
        <v>1.8249999999999999E-2</v>
      </c>
      <c r="D118" t="s">
        <v>123</v>
      </c>
      <c r="L118" s="28"/>
    </row>
    <row r="119" spans="1:12">
      <c r="A119" s="5"/>
      <c r="B119" t="s">
        <v>64</v>
      </c>
      <c r="C119" s="10">
        <f>10.84%*$A$379</f>
        <v>6.8183599999999997E-2</v>
      </c>
      <c r="D119" t="s">
        <v>124</v>
      </c>
      <c r="L119" s="29"/>
    </row>
    <row r="120" spans="1:12">
      <c r="A120" s="5"/>
      <c r="B120" t="s">
        <v>35</v>
      </c>
      <c r="C120" s="10">
        <f>0.9/A377</f>
        <v>2.5488530161427356E-2</v>
      </c>
      <c r="D120" t="s">
        <v>125</v>
      </c>
      <c r="L120" s="11"/>
    </row>
    <row r="121" spans="1:12">
      <c r="A121" s="5"/>
      <c r="B121" s="5" t="s">
        <v>11</v>
      </c>
      <c r="C121" s="8">
        <f>SUM(C117:C120)</f>
        <v>0.17692213016142735</v>
      </c>
      <c r="L121" s="30"/>
    </row>
    <row r="122" spans="1:12">
      <c r="A122" s="5"/>
      <c r="C122" s="6"/>
    </row>
    <row r="123" spans="1:12">
      <c r="A123" s="5" t="s">
        <v>126</v>
      </c>
      <c r="C123" s="6"/>
      <c r="L123" s="26"/>
    </row>
    <row r="124" spans="1:12">
      <c r="A124" s="5"/>
      <c r="B124" t="s">
        <v>30</v>
      </c>
      <c r="C124" s="10">
        <v>0.06</v>
      </c>
      <c r="D124" t="s">
        <v>8</v>
      </c>
      <c r="L124" s="27"/>
    </row>
    <row r="125" spans="1:12">
      <c r="A125" s="5"/>
      <c r="B125" t="s">
        <v>127</v>
      </c>
      <c r="C125" s="10">
        <v>1.4999999999999999E-2</v>
      </c>
      <c r="D125" t="s">
        <v>128</v>
      </c>
      <c r="L125" s="31"/>
    </row>
    <row r="126" spans="1:12">
      <c r="A126" s="5"/>
      <c r="B126" s="12" t="s">
        <v>129</v>
      </c>
      <c r="C126" s="10">
        <f>0.15/A377</f>
        <v>4.2480883602378922E-3</v>
      </c>
      <c r="D126" t="s">
        <v>130</v>
      </c>
      <c r="L126" s="29"/>
    </row>
    <row r="127" spans="1:12">
      <c r="A127" s="5"/>
      <c r="B127" s="12" t="s">
        <v>131</v>
      </c>
      <c r="C127" s="10">
        <f>0.03/A377</f>
        <v>8.496176720475785E-4</v>
      </c>
      <c r="D127" t="s">
        <v>132</v>
      </c>
      <c r="L127" s="26"/>
    </row>
    <row r="128" spans="1:12">
      <c r="A128" s="5"/>
      <c r="B128" t="s">
        <v>35</v>
      </c>
      <c r="C128" s="10">
        <f>0.7/A377</f>
        <v>1.9824412347776831E-2</v>
      </c>
      <c r="D128" t="s">
        <v>133</v>
      </c>
      <c r="L128" s="11"/>
    </row>
    <row r="129" spans="1:12">
      <c r="A129" s="5"/>
      <c r="B129" t="s">
        <v>134</v>
      </c>
      <c r="C129" s="10">
        <v>1.2999999999999999E-2</v>
      </c>
      <c r="D129" t="s">
        <v>8</v>
      </c>
      <c r="L129" s="31"/>
    </row>
    <row r="130" spans="1:12">
      <c r="A130" s="5"/>
      <c r="B130" s="5" t="s">
        <v>11</v>
      </c>
      <c r="C130" s="8">
        <f>SUM(C124:C129)</f>
        <v>0.1129221183800623</v>
      </c>
    </row>
    <row r="131" spans="1:12">
      <c r="A131" s="5"/>
      <c r="C131" s="6"/>
      <c r="L131" s="29"/>
    </row>
    <row r="132" spans="1:12">
      <c r="A132" s="5" t="s">
        <v>135</v>
      </c>
      <c r="C132" s="6"/>
      <c r="L132" s="32"/>
    </row>
    <row r="133" spans="1:12">
      <c r="A133" s="5"/>
      <c r="B133" t="s">
        <v>30</v>
      </c>
      <c r="C133" s="15">
        <v>3.4500000000000003E-2</v>
      </c>
      <c r="D133" t="s">
        <v>136</v>
      </c>
    </row>
    <row r="134" spans="1:12">
      <c r="A134" s="5"/>
      <c r="B134" s="12" t="s">
        <v>35</v>
      </c>
      <c r="C134" s="10">
        <f>1.05/A377</f>
        <v>2.9736618521665249E-2</v>
      </c>
      <c r="D134" t="s">
        <v>137</v>
      </c>
      <c r="L134" s="30"/>
    </row>
    <row r="135" spans="1:12">
      <c r="A135" s="5"/>
      <c r="B135" s="12" t="s">
        <v>112</v>
      </c>
      <c r="C135" s="10">
        <f>1.29/A377</f>
        <v>3.6533559898045881E-2</v>
      </c>
      <c r="D135" t="s">
        <v>138</v>
      </c>
      <c r="L135" s="30"/>
    </row>
    <row r="136" spans="1:12">
      <c r="A136" s="5"/>
      <c r="B136" s="12" t="s">
        <v>74</v>
      </c>
      <c r="C136" s="10">
        <f>0.05/A377</f>
        <v>1.4160294534126309E-3</v>
      </c>
      <c r="D136" t="s">
        <v>139</v>
      </c>
      <c r="F136" s="11"/>
    </row>
    <row r="137" spans="1:12">
      <c r="A137" s="5"/>
      <c r="B137" s="5" t="s">
        <v>11</v>
      </c>
      <c r="C137" s="8">
        <f>SUM(C133:C135)</f>
        <v>0.10077017841971113</v>
      </c>
      <c r="L137" s="29"/>
    </row>
    <row r="138" spans="1:12">
      <c r="A138" s="5"/>
      <c r="C138" s="6"/>
    </row>
    <row r="139" spans="1:12">
      <c r="A139" s="5" t="s">
        <v>140</v>
      </c>
      <c r="C139" s="6"/>
      <c r="L139" s="30"/>
    </row>
    <row r="140" spans="1:12">
      <c r="A140" s="5"/>
      <c r="B140" t="s">
        <v>141</v>
      </c>
      <c r="C140" s="10">
        <v>0.06</v>
      </c>
    </row>
    <row r="141" spans="1:12">
      <c r="A141" s="5"/>
      <c r="B141" t="s">
        <v>142</v>
      </c>
      <c r="C141" s="10">
        <f>0.35/A377</f>
        <v>9.9122061738884156E-3</v>
      </c>
      <c r="D141" t="s">
        <v>143</v>
      </c>
      <c r="L141" s="33"/>
    </row>
    <row r="142" spans="1:12" ht="15.75" customHeight="1">
      <c r="A142" s="5"/>
      <c r="B142" t="s">
        <v>144</v>
      </c>
      <c r="C142" s="10">
        <f>0.44/A377</f>
        <v>1.2461059190031152E-2</v>
      </c>
      <c r="D142" t="s">
        <v>145</v>
      </c>
      <c r="E142" s="23"/>
    </row>
    <row r="143" spans="1:12">
      <c r="A143" s="5"/>
      <c r="B143" t="s">
        <v>146</v>
      </c>
      <c r="C143" s="10">
        <f>0.21/A377</f>
        <v>5.9473237043330494E-3</v>
      </c>
      <c r="D143" t="s">
        <v>147</v>
      </c>
    </row>
    <row r="144" spans="1:12">
      <c r="A144" s="5"/>
      <c r="B144" s="5" t="s">
        <v>11</v>
      </c>
      <c r="C144" s="8">
        <f>SUM(C140:C143)</f>
        <v>8.8320589068252617E-2</v>
      </c>
    </row>
    <row r="145" spans="1:9">
      <c r="A145" s="5"/>
      <c r="C145" s="6"/>
    </row>
    <row r="146" spans="1:9">
      <c r="A146" s="5" t="s">
        <v>148</v>
      </c>
      <c r="C146" s="6"/>
      <c r="I146" s="21"/>
    </row>
    <row r="147" spans="1:9">
      <c r="A147" s="5"/>
      <c r="B147" t="s">
        <v>30</v>
      </c>
      <c r="C147" s="10">
        <v>0.06</v>
      </c>
      <c r="H147" s="14"/>
      <c r="I147" s="20"/>
    </row>
    <row r="148" spans="1:9">
      <c r="A148" s="5"/>
      <c r="B148" t="s">
        <v>149</v>
      </c>
      <c r="C148" s="10">
        <f>4/A377/2</f>
        <v>5.6641178136505238E-2</v>
      </c>
      <c r="D148" t="s">
        <v>150</v>
      </c>
    </row>
    <row r="149" spans="1:9">
      <c r="A149" s="5"/>
      <c r="B149" t="s">
        <v>42</v>
      </c>
      <c r="C149" s="10">
        <f>0.5/A377</f>
        <v>1.416029453412631E-2</v>
      </c>
      <c r="D149" t="s">
        <v>151</v>
      </c>
      <c r="H149" s="23"/>
    </row>
    <row r="150" spans="1:9">
      <c r="A150" s="5"/>
      <c r="B150" s="12" t="s">
        <v>62</v>
      </c>
      <c r="C150" s="10">
        <f>((1+0.75)/2)/A377</f>
        <v>2.478051543472104E-2</v>
      </c>
      <c r="D150" t="s">
        <v>152</v>
      </c>
      <c r="H150" s="24"/>
    </row>
    <row r="151" spans="1:9">
      <c r="A151" s="5"/>
      <c r="B151" s="12" t="s">
        <v>17</v>
      </c>
      <c r="C151" s="10">
        <f>0.05/A377</f>
        <v>1.4160294534126309E-3</v>
      </c>
      <c r="D151" t="s">
        <v>153</v>
      </c>
    </row>
    <row r="152" spans="1:9">
      <c r="A152" s="5"/>
      <c r="B152" s="5" t="s">
        <v>11</v>
      </c>
      <c r="C152" s="8">
        <f>SUM(C147:C151)</f>
        <v>0.15699801755876522</v>
      </c>
    </row>
    <row r="153" spans="1:9">
      <c r="A153" s="5"/>
      <c r="C153" s="6"/>
    </row>
    <row r="154" spans="1:9">
      <c r="A154" s="5" t="s">
        <v>154</v>
      </c>
      <c r="C154" s="6"/>
    </row>
    <row r="155" spans="1:9">
      <c r="A155" s="5"/>
      <c r="B155" t="s">
        <v>30</v>
      </c>
      <c r="C155" s="10">
        <v>6.25E-2</v>
      </c>
      <c r="D155" t="s">
        <v>155</v>
      </c>
      <c r="H155" s="12"/>
    </row>
    <row r="156" spans="1:9">
      <c r="A156" s="5"/>
      <c r="B156" t="s">
        <v>35</v>
      </c>
      <c r="C156" s="10">
        <f>1.5/A377</f>
        <v>4.2480883602378929E-2</v>
      </c>
      <c r="D156" t="s">
        <v>156</v>
      </c>
    </row>
    <row r="157" spans="1:9">
      <c r="A157" s="5"/>
      <c r="B157" s="5" t="s">
        <v>11</v>
      </c>
      <c r="C157" s="8">
        <f>SUM(C155:C156)</f>
        <v>0.10498088360237892</v>
      </c>
    </row>
    <row r="158" spans="1:9">
      <c r="A158" s="5"/>
      <c r="C158" s="6"/>
    </row>
    <row r="159" spans="1:9">
      <c r="A159" s="5" t="s">
        <v>157</v>
      </c>
      <c r="C159" s="6"/>
    </row>
    <row r="160" spans="1:9">
      <c r="A160" s="5"/>
      <c r="B160" t="s">
        <v>30</v>
      </c>
      <c r="C160" s="10">
        <v>0.06</v>
      </c>
      <c r="D160" t="s">
        <v>155</v>
      </c>
    </row>
    <row r="161" spans="1:10">
      <c r="A161" s="5"/>
      <c r="B161" t="s">
        <v>158</v>
      </c>
      <c r="C161" s="10">
        <f>0.25/A377</f>
        <v>7.0801472670631548E-3</v>
      </c>
      <c r="D161" t="s">
        <v>159</v>
      </c>
    </row>
    <row r="162" spans="1:10">
      <c r="A162" s="5"/>
      <c r="B162" t="s">
        <v>160</v>
      </c>
      <c r="C162" s="10">
        <f>2.22/2/A377</f>
        <v>3.1435853865760408E-2</v>
      </c>
      <c r="D162" t="s">
        <v>161</v>
      </c>
    </row>
    <row r="163" spans="1:10">
      <c r="A163" s="5"/>
      <c r="B163" t="s">
        <v>162</v>
      </c>
      <c r="C163" s="10">
        <f>0.95%*A379</f>
        <v>5.9754999999999999E-3</v>
      </c>
      <c r="D163" t="s">
        <v>163</v>
      </c>
    </row>
    <row r="164" spans="1:10">
      <c r="A164" s="5"/>
      <c r="B164" s="5" t="s">
        <v>11</v>
      </c>
      <c r="C164" s="8">
        <f>SUM(C160:C163)</f>
        <v>0.10449150113282356</v>
      </c>
    </row>
    <row r="165" spans="1:10">
      <c r="A165" s="5"/>
      <c r="C165" s="6"/>
    </row>
    <row r="166" spans="1:10">
      <c r="A166" s="5" t="s">
        <v>164</v>
      </c>
      <c r="C166" s="6"/>
      <c r="H166" s="34"/>
      <c r="J166" s="18"/>
    </row>
    <row r="167" spans="1:10">
      <c r="A167" s="5"/>
      <c r="B167" t="s">
        <v>30</v>
      </c>
      <c r="C167" s="10">
        <v>6.8750000000000006E-2</v>
      </c>
      <c r="D167" t="s">
        <v>155</v>
      </c>
    </row>
    <row r="168" spans="1:10">
      <c r="A168" s="5"/>
      <c r="B168" t="s">
        <v>87</v>
      </c>
      <c r="C168" s="10">
        <f>(1.15%+1%)/2</f>
        <v>1.0749999999999999E-2</v>
      </c>
      <c r="D168" t="s">
        <v>165</v>
      </c>
    </row>
    <row r="169" spans="1:10">
      <c r="A169" s="5"/>
      <c r="B169" s="35">
        <v>911</v>
      </c>
      <c r="C169" s="10">
        <f>0.95/A377</f>
        <v>2.6904559614839986E-2</v>
      </c>
      <c r="D169" t="s">
        <v>166</v>
      </c>
    </row>
    <row r="170" spans="1:10">
      <c r="A170" s="5"/>
      <c r="B170" s="12" t="s">
        <v>167</v>
      </c>
      <c r="C170" s="10">
        <f>0.07/A377</f>
        <v>1.9824412347776836E-3</v>
      </c>
      <c r="D170" t="s">
        <v>168</v>
      </c>
    </row>
    <row r="171" spans="1:10">
      <c r="A171" s="5"/>
      <c r="B171" s="5" t="s">
        <v>11</v>
      </c>
      <c r="C171" s="8">
        <f>SUM(C167:C170)</f>
        <v>0.10838700084961768</v>
      </c>
    </row>
    <row r="172" spans="1:10">
      <c r="A172" s="5"/>
      <c r="C172" s="6"/>
    </row>
    <row r="173" spans="1:10">
      <c r="A173" s="5" t="s">
        <v>169</v>
      </c>
      <c r="C173" s="6"/>
    </row>
    <row r="174" spans="1:10">
      <c r="A174" s="5"/>
      <c r="B174" t="s">
        <v>30</v>
      </c>
      <c r="C174" s="10">
        <v>7.0000000000000007E-2</v>
      </c>
      <c r="D174" t="s">
        <v>8</v>
      </c>
    </row>
    <row r="175" spans="1:10">
      <c r="A175" s="5"/>
      <c r="B175" t="s">
        <v>170</v>
      </c>
      <c r="C175" s="10">
        <f>1.05/A377</f>
        <v>2.9736618521665249E-2</v>
      </c>
      <c r="D175" t="s">
        <v>171</v>
      </c>
    </row>
    <row r="176" spans="1:10">
      <c r="A176" s="5"/>
      <c r="B176" s="5" t="s">
        <v>11</v>
      </c>
      <c r="C176" s="8">
        <f>SUM(C174:C175)</f>
        <v>9.9736618521665252E-2</v>
      </c>
    </row>
    <row r="177" spans="1:11">
      <c r="A177" s="5"/>
      <c r="C177" s="6"/>
      <c r="I177" s="34"/>
    </row>
    <row r="178" spans="1:11">
      <c r="A178" s="5" t="s">
        <v>172</v>
      </c>
      <c r="C178" s="6"/>
      <c r="J178" s="19"/>
      <c r="K178" s="18"/>
    </row>
    <row r="179" spans="1:11">
      <c r="A179" s="5"/>
      <c r="B179" t="s">
        <v>30</v>
      </c>
      <c r="C179" s="10">
        <v>4.2250000000000003E-2</v>
      </c>
      <c r="D179" t="s">
        <v>58</v>
      </c>
    </row>
    <row r="180" spans="1:11">
      <c r="A180" s="5"/>
      <c r="B180" t="s">
        <v>31</v>
      </c>
      <c r="C180" s="10">
        <f>(3.5%+4.875%)/2</f>
        <v>4.1875000000000002E-2</v>
      </c>
      <c r="D180" t="s">
        <v>173</v>
      </c>
    </row>
    <row r="181" spans="1:11">
      <c r="A181" s="5"/>
      <c r="B181" s="12" t="s">
        <v>174</v>
      </c>
      <c r="C181" s="10">
        <v>6.5000000000000002E-2</v>
      </c>
      <c r="D181" t="s">
        <v>175</v>
      </c>
    </row>
    <row r="182" spans="1:11">
      <c r="A182" s="5"/>
      <c r="B182" s="5" t="s">
        <v>11</v>
      </c>
      <c r="C182" s="8">
        <f>SUM(C179:C181)</f>
        <v>0.14912500000000001</v>
      </c>
    </row>
    <row r="183" spans="1:11">
      <c r="A183" s="5"/>
      <c r="C183" s="6"/>
    </row>
    <row r="184" spans="1:11">
      <c r="A184" s="5" t="s">
        <v>176</v>
      </c>
      <c r="C184" s="6"/>
    </row>
    <row r="185" spans="1:11">
      <c r="A185" s="5"/>
      <c r="B185" t="s">
        <v>177</v>
      </c>
      <c r="C185" s="10">
        <v>3.7499999999999999E-2</v>
      </c>
      <c r="D185" t="s">
        <v>8</v>
      </c>
    </row>
    <row r="186" spans="1:11">
      <c r="A186" s="5"/>
      <c r="B186" t="s">
        <v>178</v>
      </c>
      <c r="C186" s="10">
        <f>1/A377</f>
        <v>2.8320589068252619E-2</v>
      </c>
      <c r="D186" t="s">
        <v>179</v>
      </c>
    </row>
    <row r="187" spans="1:11">
      <c r="A187" s="5"/>
      <c r="B187" t="s">
        <v>180</v>
      </c>
      <c r="C187" s="10">
        <f>0.1/A377</f>
        <v>2.8320589068252617E-3</v>
      </c>
      <c r="D187" t="s">
        <v>181</v>
      </c>
    </row>
    <row r="188" spans="1:11">
      <c r="A188" s="5"/>
      <c r="B188" s="5" t="s">
        <v>11</v>
      </c>
      <c r="C188" s="8">
        <f>SUM(C185:C187)</f>
        <v>6.8652647975077877E-2</v>
      </c>
    </row>
    <row r="189" spans="1:11">
      <c r="A189" s="5"/>
      <c r="C189" s="6"/>
    </row>
    <row r="190" spans="1:11">
      <c r="A190" s="5" t="s">
        <v>182</v>
      </c>
      <c r="C190" s="6"/>
      <c r="J190" s="21"/>
    </row>
    <row r="191" spans="1:11">
      <c r="A191" s="5"/>
      <c r="B191" t="s">
        <v>30</v>
      </c>
      <c r="C191" s="10">
        <v>5.5E-2</v>
      </c>
      <c r="D191" t="s">
        <v>58</v>
      </c>
    </row>
    <row r="192" spans="1:11">
      <c r="A192" s="5"/>
      <c r="B192" t="s">
        <v>87</v>
      </c>
      <c r="C192" s="15">
        <f>(1.75%+1.5%)/2</f>
        <v>1.6250000000000001E-2</v>
      </c>
      <c r="D192" t="s">
        <v>183</v>
      </c>
      <c r="I192" s="36"/>
    </row>
    <row r="193" spans="1:4">
      <c r="A193" s="5"/>
      <c r="B193" t="s">
        <v>184</v>
      </c>
      <c r="C193" s="10">
        <f>(6%+6.25%)/2</f>
        <v>6.1249999999999999E-2</v>
      </c>
      <c r="D193" t="s">
        <v>185</v>
      </c>
    </row>
    <row r="194" spans="1:4">
      <c r="A194" s="5"/>
      <c r="B194" t="s">
        <v>112</v>
      </c>
      <c r="C194" s="10">
        <f>1.75/A377</f>
        <v>4.956103086944208E-2</v>
      </c>
      <c r="D194" t="s">
        <v>186</v>
      </c>
    </row>
    <row r="195" spans="1:4">
      <c r="A195" s="5"/>
      <c r="B195" s="12" t="s">
        <v>35</v>
      </c>
      <c r="C195" s="10">
        <f>0.45/A377</f>
        <v>1.2744265080713678E-2</v>
      </c>
      <c r="D195" t="s">
        <v>187</v>
      </c>
    </row>
    <row r="196" spans="1:4">
      <c r="A196" s="5"/>
      <c r="B196" t="s">
        <v>19</v>
      </c>
      <c r="C196" s="10">
        <f>0.03/A377</f>
        <v>8.496176720475785E-4</v>
      </c>
      <c r="D196" t="s">
        <v>188</v>
      </c>
    </row>
    <row r="197" spans="1:4">
      <c r="A197" s="5"/>
      <c r="B197" s="5" t="s">
        <v>11</v>
      </c>
      <c r="C197" s="8">
        <f>SUM(C191:C196)</f>
        <v>0.19565491362220336</v>
      </c>
    </row>
    <row r="198" spans="1:4">
      <c r="A198" s="5"/>
      <c r="C198" s="6"/>
    </row>
    <row r="199" spans="1:4">
      <c r="A199" s="5" t="s">
        <v>189</v>
      </c>
      <c r="C199" s="6"/>
    </row>
    <row r="200" spans="1:4">
      <c r="A200" s="5"/>
      <c r="B200" t="s">
        <v>190</v>
      </c>
      <c r="C200" s="10">
        <f>0.75/A377</f>
        <v>2.1240441801189464E-2</v>
      </c>
      <c r="D200" t="s">
        <v>191</v>
      </c>
    </row>
    <row r="201" spans="1:4">
      <c r="A201" s="5"/>
      <c r="B201" t="s">
        <v>72</v>
      </c>
      <c r="C201" s="10">
        <f>0.425/A377</f>
        <v>1.2036250354007362E-2</v>
      </c>
      <c r="D201" t="s">
        <v>192</v>
      </c>
    </row>
    <row r="202" spans="1:4">
      <c r="A202" s="5"/>
      <c r="B202" t="s">
        <v>193</v>
      </c>
      <c r="C202" s="10">
        <f>0.06/A377</f>
        <v>1.699235344095157E-3</v>
      </c>
      <c r="D202" t="s">
        <v>194</v>
      </c>
    </row>
    <row r="203" spans="1:4">
      <c r="A203" s="5"/>
      <c r="B203" t="s">
        <v>195</v>
      </c>
      <c r="C203" s="10">
        <f>0.0038*$A$379</f>
        <v>2.3901999999999999E-3</v>
      </c>
      <c r="D203" t="s">
        <v>196</v>
      </c>
    </row>
    <row r="204" spans="1:4">
      <c r="A204" s="5"/>
      <c r="B204" s="5" t="s">
        <v>11</v>
      </c>
      <c r="C204" s="8">
        <f>SUM(C200:C203)</f>
        <v>3.7366127499291982E-2</v>
      </c>
    </row>
    <row r="205" spans="1:4">
      <c r="A205" s="5"/>
      <c r="C205" s="6"/>
    </row>
    <row r="206" spans="1:4">
      <c r="A206" s="5" t="s">
        <v>197</v>
      </c>
      <c r="C206" s="6"/>
    </row>
    <row r="207" spans="1:4">
      <c r="A207" s="5"/>
      <c r="B207" t="s">
        <v>198</v>
      </c>
      <c r="C207" s="10">
        <v>7.0000000000000007E-2</v>
      </c>
      <c r="D207" t="s">
        <v>8</v>
      </c>
    </row>
    <row r="208" spans="1:4">
      <c r="A208" s="5"/>
      <c r="B208" t="s">
        <v>199</v>
      </c>
      <c r="C208" s="10">
        <f>0.75/A377</f>
        <v>2.1240441801189464E-2</v>
      </c>
      <c r="D208" t="s">
        <v>200</v>
      </c>
    </row>
    <row r="209" spans="1:14">
      <c r="A209" s="5"/>
      <c r="B209" s="5" t="s">
        <v>11</v>
      </c>
      <c r="C209" s="8">
        <f>SUM(C207:C208)</f>
        <v>9.1240441801189467E-2</v>
      </c>
    </row>
    <row r="210" spans="1:14">
      <c r="A210" s="5"/>
      <c r="C210" s="6"/>
    </row>
    <row r="211" spans="1:14">
      <c r="A211" s="5" t="s">
        <v>201</v>
      </c>
      <c r="C211" s="6"/>
    </row>
    <row r="212" spans="1:14">
      <c r="A212" s="5"/>
      <c r="B212" t="s">
        <v>30</v>
      </c>
      <c r="C212" s="10">
        <v>6.6250000000000003E-2</v>
      </c>
    </row>
    <row r="213" spans="1:14">
      <c r="A213" s="5"/>
      <c r="B213" t="s">
        <v>35</v>
      </c>
      <c r="C213" s="10">
        <f>0.9/A377</f>
        <v>2.5488530161427356E-2</v>
      </c>
      <c r="D213" t="s">
        <v>202</v>
      </c>
    </row>
    <row r="214" spans="1:14">
      <c r="A214" s="5"/>
      <c r="B214" s="5" t="s">
        <v>11</v>
      </c>
      <c r="C214" s="8">
        <f>SUM(C212:C213)</f>
        <v>9.1738530161427356E-2</v>
      </c>
    </row>
    <row r="215" spans="1:14">
      <c r="A215" s="5"/>
      <c r="C215" s="6"/>
    </row>
    <row r="216" spans="1:14">
      <c r="A216" s="5" t="s">
        <v>203</v>
      </c>
      <c r="C216" s="6"/>
      <c r="M216" s="18"/>
      <c r="N216" s="18"/>
    </row>
    <row r="217" spans="1:14">
      <c r="A217" s="5"/>
      <c r="B217" t="s">
        <v>204</v>
      </c>
      <c r="C217" s="10">
        <v>5.1249999999999997E-2</v>
      </c>
      <c r="D217" t="s">
        <v>205</v>
      </c>
      <c r="H217" s="12"/>
      <c r="K217" s="18"/>
      <c r="L217" s="18"/>
      <c r="M217" s="18"/>
      <c r="N217" s="18"/>
    </row>
    <row r="218" spans="1:14">
      <c r="A218" s="5"/>
      <c r="B218" t="s">
        <v>206</v>
      </c>
      <c r="C218" s="10">
        <f>(3.3125%+2.75%)/2</f>
        <v>3.0312499999999999E-2</v>
      </c>
      <c r="D218" t="s">
        <v>207</v>
      </c>
      <c r="K218" s="18"/>
      <c r="L218" s="18"/>
      <c r="M218" s="18"/>
      <c r="N218" s="18"/>
    </row>
    <row r="219" spans="1:14">
      <c r="A219" s="5"/>
      <c r="B219" t="s">
        <v>35</v>
      </c>
      <c r="C219" s="10">
        <f>0.51/A377</f>
        <v>1.4443500424808835E-2</v>
      </c>
      <c r="D219" t="s">
        <v>208</v>
      </c>
      <c r="K219" s="19"/>
      <c r="L219" s="18"/>
      <c r="M219" s="19"/>
    </row>
    <row r="220" spans="1:14">
      <c r="A220" s="5"/>
      <c r="B220" t="s">
        <v>209</v>
      </c>
      <c r="C220" s="10">
        <f>0.33%*A379</f>
        <v>2.0757000000000002E-3</v>
      </c>
      <c r="D220" t="s">
        <v>210</v>
      </c>
      <c r="K220" s="18"/>
      <c r="L220" s="18"/>
      <c r="M220" s="18"/>
    </row>
    <row r="221" spans="1:14">
      <c r="A221" s="5"/>
      <c r="B221" t="s">
        <v>112</v>
      </c>
      <c r="C221" s="10">
        <f>1.08/A377</f>
        <v>3.058623619371283E-2</v>
      </c>
      <c r="D221" t="s">
        <v>211</v>
      </c>
      <c r="K221" s="19"/>
      <c r="L221" s="18"/>
      <c r="M221" s="19"/>
    </row>
    <row r="222" spans="1:14">
      <c r="A222" s="5"/>
      <c r="B222" s="5" t="s">
        <v>11</v>
      </c>
      <c r="C222" s="8">
        <f>SUM(C217:C221)</f>
        <v>0.12866793661852166</v>
      </c>
      <c r="M222" s="18"/>
    </row>
    <row r="223" spans="1:14">
      <c r="A223" s="5"/>
      <c r="C223" s="37"/>
    </row>
    <row r="224" spans="1:14">
      <c r="A224" s="5"/>
      <c r="C224" s="6"/>
      <c r="I224" s="21"/>
    </row>
    <row r="225" spans="1:10">
      <c r="A225" s="5" t="s">
        <v>212</v>
      </c>
      <c r="C225" s="6"/>
      <c r="I225" s="34"/>
    </row>
    <row r="226" spans="1:10">
      <c r="A226" s="5"/>
      <c r="B226" t="s">
        <v>30</v>
      </c>
      <c r="C226" s="10">
        <v>0.04</v>
      </c>
      <c r="D226" t="s">
        <v>213</v>
      </c>
    </row>
    <row r="227" spans="1:10">
      <c r="A227" s="5"/>
      <c r="B227" t="s">
        <v>31</v>
      </c>
      <c r="C227" s="10">
        <f>(4%+4.5%)/2</f>
        <v>4.2499999999999996E-2</v>
      </c>
      <c r="D227" t="s">
        <v>214</v>
      </c>
    </row>
    <row r="228" spans="1:10">
      <c r="A228" s="5"/>
      <c r="B228" t="s">
        <v>215</v>
      </c>
      <c r="C228" s="10">
        <f>0.375%/2</f>
        <v>1.8749999999999999E-3</v>
      </c>
      <c r="D228" t="s">
        <v>216</v>
      </c>
    </row>
    <row r="229" spans="1:10">
      <c r="A229" s="5"/>
      <c r="B229" t="s">
        <v>217</v>
      </c>
      <c r="C229" s="10">
        <v>2.9000000000000001E-2</v>
      </c>
      <c r="D229" t="s">
        <v>218</v>
      </c>
      <c r="J229" s="18"/>
    </row>
    <row r="230" spans="1:10">
      <c r="A230" s="5"/>
      <c r="B230" t="s">
        <v>219</v>
      </c>
      <c r="C230" s="10">
        <f>(0.721%)/2</f>
        <v>3.6049999999999997E-3</v>
      </c>
      <c r="D230" t="s">
        <v>220</v>
      </c>
      <c r="J230" s="38"/>
    </row>
    <row r="231" spans="1:10">
      <c r="A231" s="5"/>
      <c r="B231" t="s">
        <v>221</v>
      </c>
      <c r="C231" s="10">
        <f>((0.84*0.0235)+0.01)/2</f>
        <v>1.4870000000000001E-2</v>
      </c>
      <c r="D231" t="s">
        <v>222</v>
      </c>
      <c r="J231" s="18"/>
    </row>
    <row r="232" spans="1:10">
      <c r="A232" s="5"/>
      <c r="B232" t="s">
        <v>158</v>
      </c>
      <c r="C232" s="10">
        <f>1.2/A377</f>
        <v>3.3984706881903137E-2</v>
      </c>
      <c r="D232" t="s">
        <v>223</v>
      </c>
    </row>
    <row r="233" spans="1:10">
      <c r="A233" s="5"/>
      <c r="B233" t="s">
        <v>224</v>
      </c>
      <c r="C233" s="10">
        <f>0.3/A377</f>
        <v>8.4961767204757843E-3</v>
      </c>
      <c r="D233" t="s">
        <v>225</v>
      </c>
    </row>
    <row r="234" spans="1:10">
      <c r="A234" s="5"/>
      <c r="B234" t="s">
        <v>226</v>
      </c>
      <c r="C234" s="10">
        <v>1.4999999999999999E-2</v>
      </c>
      <c r="D234" t="s">
        <v>227</v>
      </c>
    </row>
    <row r="235" spans="1:10">
      <c r="A235" s="5"/>
      <c r="B235" s="5" t="s">
        <v>11</v>
      </c>
      <c r="C235" s="8">
        <f>SUM(C226:C234)</f>
        <v>0.18933088360237893</v>
      </c>
    </row>
    <row r="236" spans="1:10">
      <c r="A236" s="5"/>
      <c r="C236" s="6"/>
    </row>
    <row r="237" spans="1:10">
      <c r="A237" s="5" t="s">
        <v>228</v>
      </c>
      <c r="C237" s="6"/>
    </row>
    <row r="238" spans="1:10">
      <c r="A238" s="5"/>
      <c r="B238" t="s">
        <v>229</v>
      </c>
      <c r="C238" s="15">
        <v>7.0000000000000007E-2</v>
      </c>
      <c r="D238" t="s">
        <v>230</v>
      </c>
    </row>
    <row r="239" spans="1:10">
      <c r="A239" s="5"/>
      <c r="B239" t="s">
        <v>35</v>
      </c>
      <c r="C239" s="10">
        <f>0.65/A377</f>
        <v>1.8408382894364202E-2</v>
      </c>
      <c r="D239" t="s">
        <v>231</v>
      </c>
      <c r="E239" s="22"/>
    </row>
    <row r="240" spans="1:10">
      <c r="A240" s="5"/>
      <c r="B240" t="s">
        <v>232</v>
      </c>
      <c r="C240" s="10">
        <f>0.08/A377</f>
        <v>2.2656471254602095E-3</v>
      </c>
      <c r="D240" t="s">
        <v>233</v>
      </c>
    </row>
    <row r="241" spans="1:5">
      <c r="A241" s="5"/>
      <c r="B241" s="5" t="s">
        <v>11</v>
      </c>
      <c r="C241" s="8">
        <f>SUM(C238:C240)</f>
        <v>9.0674030019824409E-2</v>
      </c>
    </row>
    <row r="242" spans="1:5">
      <c r="A242" s="5"/>
      <c r="C242" s="6"/>
    </row>
    <row r="243" spans="1:5">
      <c r="A243" s="5" t="s">
        <v>234</v>
      </c>
      <c r="C243" s="6"/>
    </row>
    <row r="244" spans="1:5">
      <c r="A244" s="5"/>
      <c r="B244" t="s">
        <v>30</v>
      </c>
      <c r="C244" s="10">
        <v>0.05</v>
      </c>
      <c r="D244" t="s">
        <v>58</v>
      </c>
    </row>
    <row r="245" spans="1:5">
      <c r="A245" s="5"/>
      <c r="B245" t="s">
        <v>31</v>
      </c>
      <c r="C245" s="10">
        <v>2.2499999999999999E-2</v>
      </c>
      <c r="D245" t="s">
        <v>235</v>
      </c>
    </row>
    <row r="246" spans="1:5">
      <c r="A246" s="5"/>
      <c r="B246" t="s">
        <v>236</v>
      </c>
      <c r="C246" s="10">
        <v>2.5000000000000001E-2</v>
      </c>
      <c r="D246" t="s">
        <v>155</v>
      </c>
    </row>
    <row r="247" spans="1:5">
      <c r="A247" s="5"/>
      <c r="B247" s="39" t="s">
        <v>237</v>
      </c>
      <c r="C247" s="10">
        <f>0.5/A377</f>
        <v>1.416029453412631E-2</v>
      </c>
      <c r="D247" t="s">
        <v>238</v>
      </c>
      <c r="E247" s="40"/>
    </row>
    <row r="248" spans="1:5">
      <c r="A248" s="5"/>
      <c r="B248" t="s">
        <v>72</v>
      </c>
      <c r="C248" s="10">
        <f>1.5/A377</f>
        <v>4.2480883602378929E-2</v>
      </c>
      <c r="D248" t="s">
        <v>239</v>
      </c>
    </row>
    <row r="249" spans="1:5">
      <c r="A249" s="5"/>
      <c r="B249" s="12" t="s">
        <v>19</v>
      </c>
      <c r="C249" s="10">
        <f>0.03/A377</f>
        <v>8.496176720475785E-4</v>
      </c>
      <c r="D249" t="s">
        <v>240</v>
      </c>
    </row>
    <row r="250" spans="1:5">
      <c r="A250" s="5"/>
      <c r="B250" s="5" t="s">
        <v>11</v>
      </c>
      <c r="C250" s="8">
        <f>SUM(C244:C249)</f>
        <v>0.15499079580855282</v>
      </c>
    </row>
    <row r="251" spans="1:5">
      <c r="A251" s="5"/>
      <c r="C251" s="6"/>
    </row>
    <row r="252" spans="1:5">
      <c r="A252" s="5" t="s">
        <v>241</v>
      </c>
      <c r="C252" s="6"/>
    </row>
    <row r="253" spans="1:5">
      <c r="A253" s="5"/>
      <c r="B253" t="s">
        <v>30</v>
      </c>
      <c r="C253" s="10">
        <v>5.7500000000000002E-2</v>
      </c>
      <c r="D253" t="s">
        <v>8</v>
      </c>
    </row>
    <row r="254" spans="1:5">
      <c r="A254" s="5"/>
      <c r="B254" t="s">
        <v>31</v>
      </c>
      <c r="C254" s="10">
        <v>0.02</v>
      </c>
      <c r="D254" t="s">
        <v>242</v>
      </c>
    </row>
    <row r="255" spans="1:5">
      <c r="A255" s="5"/>
      <c r="B255" t="s">
        <v>243</v>
      </c>
      <c r="C255" s="10">
        <f>0.174%*A379</f>
        <v>1.0944599999999998E-3</v>
      </c>
      <c r="D255" t="s">
        <v>244</v>
      </c>
    </row>
    <row r="256" spans="1:5">
      <c r="A256" s="5"/>
      <c r="B256" t="s">
        <v>245</v>
      </c>
      <c r="C256" s="10">
        <f>0.25/$A$377</f>
        <v>7.0801472670631548E-3</v>
      </c>
      <c r="D256" t="s">
        <v>246</v>
      </c>
    </row>
    <row r="257" spans="1:8">
      <c r="A257" s="5"/>
      <c r="B257" s="5" t="s">
        <v>11</v>
      </c>
      <c r="C257" s="8">
        <f>SUM(C253:C256)</f>
        <v>8.5674607267063163E-2</v>
      </c>
    </row>
    <row r="258" spans="1:8">
      <c r="A258" s="5"/>
      <c r="C258" s="6"/>
    </row>
    <row r="259" spans="1:8">
      <c r="A259" s="5" t="s">
        <v>247</v>
      </c>
      <c r="C259" s="6"/>
    </row>
    <row r="260" spans="1:8">
      <c r="A260" s="5"/>
      <c r="B260" t="s">
        <v>30</v>
      </c>
      <c r="C260" s="10">
        <v>4.4999999999999998E-2</v>
      </c>
      <c r="D260" t="s">
        <v>8</v>
      </c>
    </row>
    <row r="261" spans="1:8">
      <c r="A261" s="5"/>
      <c r="B261" t="s">
        <v>31</v>
      </c>
      <c r="C261" s="10">
        <f>(4.125%+4.017%)/2</f>
        <v>4.0710000000000003E-2</v>
      </c>
      <c r="D261" t="s">
        <v>248</v>
      </c>
    </row>
    <row r="262" spans="1:8">
      <c r="A262" s="5"/>
      <c r="B262" t="s">
        <v>89</v>
      </c>
      <c r="C262" s="10">
        <f>0.75/A377</f>
        <v>2.1240441801189464E-2</v>
      </c>
      <c r="D262" t="s">
        <v>249</v>
      </c>
      <c r="E262" s="14"/>
      <c r="H262" s="12"/>
    </row>
    <row r="263" spans="1:8">
      <c r="A263" s="5"/>
      <c r="B263" t="s">
        <v>64</v>
      </c>
      <c r="C263" s="10">
        <f>6.28%*$A$379</f>
        <v>3.9501200000000007E-2</v>
      </c>
      <c r="D263" t="s">
        <v>250</v>
      </c>
    </row>
    <row r="264" spans="1:8">
      <c r="A264" s="5"/>
      <c r="B264" s="5" t="s">
        <v>11</v>
      </c>
      <c r="C264" s="8">
        <f>SUM(C260:C263)</f>
        <v>0.14645164180118947</v>
      </c>
    </row>
    <row r="265" spans="1:8">
      <c r="A265" s="5"/>
      <c r="C265" s="6"/>
    </row>
    <row r="266" spans="1:8">
      <c r="A266" s="5" t="s">
        <v>251</v>
      </c>
      <c r="C266" s="6"/>
    </row>
    <row r="267" spans="1:8">
      <c r="A267" s="5"/>
      <c r="B267" t="s">
        <v>252</v>
      </c>
      <c r="C267" s="10">
        <v>0</v>
      </c>
      <c r="D267" t="s">
        <v>253</v>
      </c>
    </row>
    <row r="268" spans="1:8">
      <c r="A268" s="5"/>
      <c r="B268" t="s">
        <v>199</v>
      </c>
      <c r="C268" s="10">
        <f>1.25/A377</f>
        <v>3.540073633531577E-2</v>
      </c>
      <c r="D268" t="s">
        <v>254</v>
      </c>
    </row>
    <row r="269" spans="1:8">
      <c r="A269" s="5"/>
      <c r="B269" t="s">
        <v>255</v>
      </c>
      <c r="C269" s="15">
        <f>0.14/A377</f>
        <v>3.9648824695553671E-3</v>
      </c>
      <c r="D269" t="s">
        <v>256</v>
      </c>
    </row>
    <row r="270" spans="1:8">
      <c r="A270" s="5"/>
      <c r="B270" t="s">
        <v>112</v>
      </c>
      <c r="C270" s="15">
        <f>0.06*A379</f>
        <v>3.7739999999999996E-2</v>
      </c>
      <c r="D270" t="s">
        <v>257</v>
      </c>
    </row>
    <row r="271" spans="1:8">
      <c r="A271" s="5"/>
      <c r="B271" s="5" t="s">
        <v>11</v>
      </c>
      <c r="C271" s="8">
        <f>SUM(C267:C270)</f>
        <v>7.7105618804871129E-2</v>
      </c>
      <c r="D271" s="13"/>
    </row>
    <row r="272" spans="1:8">
      <c r="A272" s="5"/>
      <c r="C272" s="6"/>
      <c r="D272" s="13"/>
    </row>
    <row r="273" spans="1:9">
      <c r="A273" s="5"/>
      <c r="C273" s="6"/>
      <c r="I273" s="18"/>
    </row>
    <row r="274" spans="1:9">
      <c r="A274" s="5" t="s">
        <v>258</v>
      </c>
      <c r="C274" s="6"/>
    </row>
    <row r="275" spans="1:9">
      <c r="A275" s="5"/>
      <c r="B275" t="s">
        <v>30</v>
      </c>
      <c r="C275" s="10">
        <v>0.06</v>
      </c>
      <c r="D275" t="s">
        <v>8</v>
      </c>
    </row>
    <row r="276" spans="1:9">
      <c r="A276" s="5"/>
      <c r="B276" t="s">
        <v>236</v>
      </c>
      <c r="C276" s="10">
        <v>0.05</v>
      </c>
      <c r="D276" t="s">
        <v>8</v>
      </c>
    </row>
    <row r="277" spans="1:9">
      <c r="A277" s="5"/>
      <c r="B277" t="s">
        <v>87</v>
      </c>
      <c r="C277" s="10">
        <v>0.01</v>
      </c>
      <c r="D277" t="s">
        <v>259</v>
      </c>
    </row>
    <row r="278" spans="1:9">
      <c r="A278" s="5"/>
      <c r="B278" t="s">
        <v>101</v>
      </c>
      <c r="C278" s="10">
        <f>1.65/A377</f>
        <v>4.6728971962616814E-2</v>
      </c>
      <c r="D278" t="s">
        <v>260</v>
      </c>
    </row>
    <row r="279" spans="1:9">
      <c r="A279" s="5"/>
      <c r="B279" s="5" t="s">
        <v>11</v>
      </c>
      <c r="C279" s="8">
        <f>SUM(C275:C278)</f>
        <v>0.16672897196261682</v>
      </c>
      <c r="D279" s="13"/>
    </row>
    <row r="280" spans="1:9">
      <c r="A280" s="5"/>
      <c r="C280" s="6"/>
    </row>
    <row r="281" spans="1:9">
      <c r="A281" s="5" t="s">
        <v>261</v>
      </c>
      <c r="B281" t="s">
        <v>262</v>
      </c>
      <c r="C281" s="6">
        <v>0.115</v>
      </c>
    </row>
    <row r="282" spans="1:9">
      <c r="A282" s="5"/>
      <c r="B282" t="s">
        <v>142</v>
      </c>
      <c r="C282" s="6">
        <f>0.5/A377</f>
        <v>1.416029453412631E-2</v>
      </c>
      <c r="D282" t="s">
        <v>263</v>
      </c>
    </row>
    <row r="283" spans="1:9">
      <c r="A283" s="5"/>
      <c r="B283" t="s">
        <v>64</v>
      </c>
      <c r="C283" s="6">
        <f>1.39%*A379</f>
        <v>8.7431000000000002E-3</v>
      </c>
      <c r="D283" t="s">
        <v>264</v>
      </c>
    </row>
    <row r="284" spans="1:9">
      <c r="A284" s="5"/>
      <c r="B284" s="5" t="s">
        <v>11</v>
      </c>
      <c r="C284" s="41">
        <f>SUM(C281:C283)</f>
        <v>0.13790339453412631</v>
      </c>
    </row>
    <row r="285" spans="1:9">
      <c r="A285" s="5"/>
      <c r="C285" s="6"/>
    </row>
    <row r="286" spans="1:9">
      <c r="A286" s="5" t="s">
        <v>265</v>
      </c>
      <c r="C286" s="6"/>
    </row>
    <row r="287" spans="1:9">
      <c r="A287" s="5"/>
      <c r="B287" t="s">
        <v>30</v>
      </c>
      <c r="C287" s="10">
        <v>7.0000000000000007E-2</v>
      </c>
      <c r="D287" t="s">
        <v>8</v>
      </c>
    </row>
    <row r="288" spans="1:9">
      <c r="A288" s="5"/>
      <c r="B288" t="s">
        <v>266</v>
      </c>
      <c r="C288" s="10">
        <v>0.05</v>
      </c>
      <c r="D288" t="s">
        <v>8</v>
      </c>
    </row>
    <row r="289" spans="1:10">
      <c r="A289" s="5"/>
      <c r="B289" t="s">
        <v>267</v>
      </c>
      <c r="C289" s="10">
        <f>1.25/A377</f>
        <v>3.540073633531577E-2</v>
      </c>
      <c r="D289" t="s">
        <v>254</v>
      </c>
    </row>
    <row r="290" spans="1:10">
      <c r="A290" s="5"/>
      <c r="B290" s="5" t="s">
        <v>11</v>
      </c>
      <c r="C290" s="8">
        <f>SUM(C287:C289)</f>
        <v>0.15540073633531579</v>
      </c>
    </row>
    <row r="291" spans="1:10">
      <c r="A291" s="5"/>
      <c r="C291" s="6"/>
    </row>
    <row r="292" spans="1:10">
      <c r="A292" s="5" t="s">
        <v>268</v>
      </c>
      <c r="C292" s="6"/>
    </row>
    <row r="293" spans="1:10">
      <c r="A293" s="5"/>
      <c r="B293" t="s">
        <v>30</v>
      </c>
      <c r="C293" s="15">
        <v>0.06</v>
      </c>
      <c r="D293" t="s">
        <v>8</v>
      </c>
    </row>
    <row r="294" spans="1:10">
      <c r="A294" s="5"/>
      <c r="B294" s="12" t="s">
        <v>87</v>
      </c>
      <c r="C294" s="10">
        <v>2.5000000000000001E-2</v>
      </c>
      <c r="D294" t="s">
        <v>269</v>
      </c>
    </row>
    <row r="295" spans="1:10">
      <c r="A295" s="5"/>
      <c r="B295" t="s">
        <v>270</v>
      </c>
      <c r="C295" s="10">
        <v>0.01</v>
      </c>
      <c r="D295" t="s">
        <v>271</v>
      </c>
    </row>
    <row r="296" spans="1:10">
      <c r="A296" s="5"/>
      <c r="B296" t="s">
        <v>272</v>
      </c>
      <c r="C296" s="10">
        <f>0.03/A377</f>
        <v>8.496176720475785E-4</v>
      </c>
      <c r="D296" t="s">
        <v>115</v>
      </c>
    </row>
    <row r="297" spans="1:10">
      <c r="A297" s="5"/>
      <c r="B297" t="s">
        <v>17</v>
      </c>
      <c r="C297" s="10">
        <f>2.4%*A379</f>
        <v>1.5096E-2</v>
      </c>
      <c r="D297" t="s">
        <v>273</v>
      </c>
    </row>
    <row r="298" spans="1:10">
      <c r="A298" s="5"/>
      <c r="B298" s="12" t="s">
        <v>199</v>
      </c>
      <c r="C298" s="10">
        <f>0.62/A377</f>
        <v>1.7558765222316624E-2</v>
      </c>
      <c r="D298" t="s">
        <v>274</v>
      </c>
    </row>
    <row r="299" spans="1:10">
      <c r="A299" s="5"/>
      <c r="B299" s="5" t="s">
        <v>11</v>
      </c>
      <c r="C299" s="8">
        <f>SUM(C293:C298)</f>
        <v>0.12850438289436419</v>
      </c>
    </row>
    <row r="300" spans="1:10">
      <c r="A300" s="5"/>
      <c r="C300" s="6"/>
      <c r="J300" s="28"/>
    </row>
    <row r="301" spans="1:10">
      <c r="A301" s="5" t="s">
        <v>275</v>
      </c>
      <c r="C301" s="6"/>
      <c r="J301" s="18"/>
    </row>
    <row r="302" spans="1:10">
      <c r="A302" s="5"/>
      <c r="B302" t="s">
        <v>30</v>
      </c>
      <c r="C302" s="10">
        <v>4.4999999999999998E-2</v>
      </c>
      <c r="D302" t="s">
        <v>8</v>
      </c>
      <c r="J302" s="23"/>
    </row>
    <row r="303" spans="1:10">
      <c r="A303" s="5"/>
      <c r="B303" t="s">
        <v>236</v>
      </c>
      <c r="C303" s="10">
        <v>0.04</v>
      </c>
    </row>
    <row r="304" spans="1:10">
      <c r="A304" s="5"/>
      <c r="B304" t="s">
        <v>276</v>
      </c>
      <c r="C304" s="10">
        <f>2%</f>
        <v>0.02</v>
      </c>
      <c r="D304" t="s">
        <v>277</v>
      </c>
      <c r="J304" s="23"/>
    </row>
    <row r="305" spans="1:10">
      <c r="A305" s="5"/>
      <c r="B305" t="s">
        <v>278</v>
      </c>
      <c r="C305" s="10">
        <f>1.25/A377</f>
        <v>3.540073633531577E-2</v>
      </c>
      <c r="D305" t="s">
        <v>254</v>
      </c>
      <c r="H305" s="36"/>
    </row>
    <row r="306" spans="1:10">
      <c r="A306" s="5"/>
      <c r="B306" t="s">
        <v>74</v>
      </c>
      <c r="C306" s="10">
        <f>0.15/A377</f>
        <v>4.2480883602378922E-3</v>
      </c>
      <c r="D306" t="s">
        <v>279</v>
      </c>
      <c r="J306" s="26"/>
    </row>
    <row r="307" spans="1:10">
      <c r="A307" s="5"/>
      <c r="B307" t="s">
        <v>44</v>
      </c>
      <c r="C307" s="10">
        <f>0.15%*A379</f>
        <v>9.435E-4</v>
      </c>
      <c r="D307" t="s">
        <v>280</v>
      </c>
    </row>
    <row r="308" spans="1:10">
      <c r="A308" s="5"/>
      <c r="B308" s="5" t="s">
        <v>11</v>
      </c>
      <c r="C308" s="8">
        <f>SUM(C302:C307)</f>
        <v>0.14559232469555369</v>
      </c>
      <c r="J308" s="31"/>
    </row>
    <row r="309" spans="1:10">
      <c r="A309" s="5"/>
      <c r="C309" s="6"/>
      <c r="J309" s="27"/>
    </row>
    <row r="310" spans="1:10">
      <c r="A310" s="5" t="s">
        <v>281</v>
      </c>
      <c r="C310" s="6"/>
      <c r="J310" s="29"/>
    </row>
    <row r="311" spans="1:10">
      <c r="A311" s="5"/>
      <c r="B311" t="s">
        <v>30</v>
      </c>
      <c r="C311" s="10">
        <v>7.0000000000000007E-2</v>
      </c>
      <c r="D311" t="s">
        <v>8</v>
      </c>
    </row>
    <row r="312" spans="1:10">
      <c r="A312" s="5"/>
      <c r="B312" t="s">
        <v>87</v>
      </c>
      <c r="C312" s="10">
        <v>2.5000000000000001E-2</v>
      </c>
      <c r="D312" t="s">
        <v>282</v>
      </c>
      <c r="J312" s="29"/>
    </row>
    <row r="313" spans="1:10">
      <c r="A313" s="5"/>
      <c r="B313" s="12" t="s">
        <v>283</v>
      </c>
      <c r="C313" s="10">
        <f>1.5/A377</f>
        <v>4.2480883602378929E-2</v>
      </c>
      <c r="D313" t="s">
        <v>284</v>
      </c>
    </row>
    <row r="314" spans="1:10">
      <c r="A314" s="5"/>
      <c r="B314" s="5" t="s">
        <v>11</v>
      </c>
      <c r="C314" s="8">
        <f>SUM(C311:C313)</f>
        <v>0.13748088360237892</v>
      </c>
    </row>
    <row r="315" spans="1:10">
      <c r="A315" s="5"/>
      <c r="C315" s="6"/>
    </row>
    <row r="316" spans="1:10">
      <c r="A316" s="5" t="s">
        <v>285</v>
      </c>
      <c r="C316" s="6"/>
    </row>
    <row r="317" spans="1:10">
      <c r="A317" s="5"/>
      <c r="B317" t="s">
        <v>30</v>
      </c>
      <c r="C317" s="10">
        <v>6.25E-2</v>
      </c>
      <c r="D317" t="s">
        <v>8</v>
      </c>
    </row>
    <row r="318" spans="1:10">
      <c r="A318" s="5"/>
      <c r="B318" s="12" t="s">
        <v>87</v>
      </c>
      <c r="C318" s="10">
        <v>0.02</v>
      </c>
      <c r="D318" s="42" t="s">
        <v>286</v>
      </c>
    </row>
    <row r="319" spans="1:10">
      <c r="A319" s="5"/>
      <c r="B319" t="s">
        <v>287</v>
      </c>
      <c r="C319" s="10">
        <f>0.5/A377</f>
        <v>1.416029453412631E-2</v>
      </c>
      <c r="D319" t="s">
        <v>151</v>
      </c>
    </row>
    <row r="320" spans="1:10">
      <c r="A320" s="5"/>
      <c r="B320" t="s">
        <v>288</v>
      </c>
      <c r="C320" s="10">
        <f>0.033*$A$379</f>
        <v>2.0757000000000001E-2</v>
      </c>
      <c r="D320" t="s">
        <v>289</v>
      </c>
    </row>
    <row r="321" spans="1:5">
      <c r="A321" s="5"/>
      <c r="B321" s="12" t="s">
        <v>290</v>
      </c>
      <c r="C321" s="10">
        <f>0.06/A377</f>
        <v>1.699235344095157E-3</v>
      </c>
      <c r="D321" t="s">
        <v>291</v>
      </c>
    </row>
    <row r="322" spans="1:5">
      <c r="A322" s="5"/>
      <c r="B322" s="5" t="s">
        <v>11</v>
      </c>
      <c r="C322" s="8">
        <f>SUM(C317:C321)</f>
        <v>0.11911652987822147</v>
      </c>
    </row>
    <row r="323" spans="1:5">
      <c r="A323" s="5"/>
      <c r="C323" s="6"/>
    </row>
    <row r="324" spans="1:5">
      <c r="A324" s="5" t="s">
        <v>292</v>
      </c>
      <c r="C324" s="6"/>
    </row>
    <row r="325" spans="1:5">
      <c r="A325" s="5"/>
      <c r="B325" t="s">
        <v>30</v>
      </c>
      <c r="C325" s="10">
        <v>4.8500000000000001E-2</v>
      </c>
      <c r="D325" t="s">
        <v>58</v>
      </c>
    </row>
    <row r="326" spans="1:5">
      <c r="A326" s="5"/>
      <c r="B326" t="s">
        <v>31</v>
      </c>
      <c r="C326" s="10">
        <f>(2.9%+2.4%)/2</f>
        <v>2.6499999999999999E-2</v>
      </c>
      <c r="D326" t="s">
        <v>293</v>
      </c>
    </row>
    <row r="327" spans="1:5">
      <c r="A327" s="5"/>
      <c r="B327" t="s">
        <v>294</v>
      </c>
      <c r="C327" s="10">
        <v>3.5000000000000003E-2</v>
      </c>
      <c r="D327" t="s">
        <v>295</v>
      </c>
    </row>
    <row r="328" spans="1:5">
      <c r="A328" s="5"/>
      <c r="B328" t="s">
        <v>296</v>
      </c>
      <c r="C328" s="10">
        <f>0.96/A377</f>
        <v>2.7187765505522512E-2</v>
      </c>
      <c r="D328" t="s">
        <v>297</v>
      </c>
    </row>
    <row r="329" spans="1:5">
      <c r="A329" s="5"/>
      <c r="B329" t="s">
        <v>298</v>
      </c>
      <c r="C329" s="10">
        <f>0.52/A377</f>
        <v>1.4726706315491361E-2</v>
      </c>
      <c r="D329" t="s">
        <v>299</v>
      </c>
    </row>
    <row r="330" spans="1:5">
      <c r="A330" s="5"/>
      <c r="B330" t="s">
        <v>112</v>
      </c>
      <c r="C330" s="10">
        <f>0.34/A377</f>
        <v>9.6290002832058914E-3</v>
      </c>
      <c r="D330" t="s">
        <v>300</v>
      </c>
    </row>
    <row r="331" spans="1:5">
      <c r="A331" s="5"/>
      <c r="B331" s="5" t="s">
        <v>11</v>
      </c>
      <c r="C331" s="8">
        <f>SUM(C325:C330)</f>
        <v>0.16154347210421977</v>
      </c>
    </row>
    <row r="332" spans="1:5">
      <c r="A332" s="5"/>
      <c r="C332" s="6"/>
    </row>
    <row r="333" spans="1:5">
      <c r="A333" s="5" t="s">
        <v>301</v>
      </c>
      <c r="C333" s="10"/>
    </row>
    <row r="334" spans="1:5">
      <c r="A334" s="5"/>
      <c r="B334" t="s">
        <v>30</v>
      </c>
      <c r="C334" s="10">
        <v>0.06</v>
      </c>
      <c r="D334" t="s">
        <v>8</v>
      </c>
    </row>
    <row r="335" spans="1:5">
      <c r="A335" s="5"/>
      <c r="B335" t="s">
        <v>87</v>
      </c>
      <c r="C335" s="10">
        <v>5.0000000000000001E-3</v>
      </c>
      <c r="D335" t="s">
        <v>302</v>
      </c>
      <c r="E335" s="22"/>
    </row>
    <row r="336" spans="1:5">
      <c r="A336" s="5"/>
      <c r="B336" t="s">
        <v>303</v>
      </c>
      <c r="C336" s="10">
        <v>2.4E-2</v>
      </c>
      <c r="D336" t="s">
        <v>304</v>
      </c>
    </row>
    <row r="337" spans="1:9">
      <c r="A337" s="5"/>
      <c r="B337" s="5" t="s">
        <v>11</v>
      </c>
      <c r="C337" s="8">
        <f>SUM(C334:C336)</f>
        <v>8.8999999999999996E-2</v>
      </c>
    </row>
    <row r="338" spans="1:9">
      <c r="A338" s="5"/>
      <c r="C338" s="6"/>
    </row>
    <row r="339" spans="1:9">
      <c r="A339" s="5" t="s">
        <v>305</v>
      </c>
      <c r="C339" s="10"/>
    </row>
    <row r="340" spans="1:9">
      <c r="A340" s="5"/>
      <c r="B340" t="s">
        <v>306</v>
      </c>
      <c r="C340" s="10">
        <v>0.05</v>
      </c>
    </row>
    <row r="341" spans="1:9">
      <c r="A341" s="5"/>
      <c r="B341" t="s">
        <v>35</v>
      </c>
      <c r="C341" s="10">
        <f>0.82/A377</f>
        <v>2.3222883035967146E-2</v>
      </c>
      <c r="D341" t="s">
        <v>307</v>
      </c>
    </row>
    <row r="342" spans="1:9">
      <c r="A342" s="5"/>
      <c r="B342" t="s">
        <v>308</v>
      </c>
      <c r="C342" s="10">
        <f>0.12/A377</f>
        <v>3.398470688190314E-3</v>
      </c>
      <c r="D342" t="s">
        <v>309</v>
      </c>
    </row>
    <row r="343" spans="1:9">
      <c r="A343" s="5"/>
      <c r="B343" s="5" t="s">
        <v>11</v>
      </c>
      <c r="C343" s="8">
        <f>SUM(C340:C341)</f>
        <v>7.3222883035967148E-2</v>
      </c>
      <c r="I343" s="43"/>
    </row>
    <row r="344" spans="1:9">
      <c r="A344" s="5"/>
      <c r="C344" s="6"/>
    </row>
    <row r="345" spans="1:9">
      <c r="A345" s="5" t="s">
        <v>310</v>
      </c>
      <c r="C345" s="6"/>
    </row>
    <row r="346" spans="1:9">
      <c r="A346" s="5"/>
      <c r="B346" t="s">
        <v>30</v>
      </c>
      <c r="C346" s="10">
        <v>6.5000000000000002E-2</v>
      </c>
      <c r="D346" t="s">
        <v>8</v>
      </c>
    </row>
    <row r="347" spans="1:9">
      <c r="A347" s="5"/>
      <c r="B347" t="s">
        <v>31</v>
      </c>
      <c r="C347" s="10">
        <f>(2.9%+3.75%)/2</f>
        <v>3.3250000000000002E-2</v>
      </c>
      <c r="D347" t="s">
        <v>311</v>
      </c>
    </row>
    <row r="348" spans="1:9">
      <c r="A348" s="5"/>
      <c r="B348" s="12" t="s">
        <v>312</v>
      </c>
      <c r="C348" s="10">
        <f>(6%+9%)/2</f>
        <v>7.4999999999999997E-2</v>
      </c>
      <c r="D348" t="s">
        <v>313</v>
      </c>
    </row>
    <row r="349" spans="1:9">
      <c r="A349" s="5"/>
      <c r="B349" s="12" t="s">
        <v>314</v>
      </c>
      <c r="C349" s="10">
        <f>0.25/A377</f>
        <v>7.0801472670631548E-3</v>
      </c>
      <c r="D349" t="s">
        <v>159</v>
      </c>
    </row>
    <row r="350" spans="1:9">
      <c r="A350" s="5"/>
      <c r="B350" s="12" t="s">
        <v>315</v>
      </c>
      <c r="C350" s="10">
        <f>0.7/A377</f>
        <v>1.9824412347776831E-2</v>
      </c>
      <c r="D350" t="s">
        <v>133</v>
      </c>
    </row>
    <row r="351" spans="1:9">
      <c r="A351" s="5"/>
      <c r="B351" s="5" t="s">
        <v>11</v>
      </c>
      <c r="C351" s="8">
        <f>SUM(C346:C350)</f>
        <v>0.20015455961483999</v>
      </c>
    </row>
    <row r="352" spans="1:9">
      <c r="A352" s="5"/>
      <c r="C352" s="6"/>
    </row>
    <row r="353" spans="1:10">
      <c r="A353" s="5" t="s">
        <v>316</v>
      </c>
      <c r="C353" s="6"/>
      <c r="E353" s="14"/>
    </row>
    <row r="354" spans="1:10">
      <c r="A354" s="5"/>
      <c r="B354" t="s">
        <v>30</v>
      </c>
      <c r="C354" s="10">
        <v>0</v>
      </c>
      <c r="D354" t="s">
        <v>317</v>
      </c>
    </row>
    <row r="355" spans="1:10">
      <c r="A355" s="5"/>
      <c r="B355" t="s">
        <v>318</v>
      </c>
      <c r="C355" s="10">
        <f>3.47/$A$377</f>
        <v>9.8272444066836592E-2</v>
      </c>
      <c r="D355" t="s">
        <v>319</v>
      </c>
    </row>
    <row r="356" spans="1:10">
      <c r="A356" s="5"/>
      <c r="C356" s="10">
        <f>0.29/A377</f>
        <v>8.2129708297932584E-3</v>
      </c>
      <c r="D356" t="s">
        <v>320</v>
      </c>
    </row>
    <row r="357" spans="1:10">
      <c r="A357" s="5"/>
      <c r="C357" s="10">
        <f>0.08/A377</f>
        <v>2.2656471254602095E-3</v>
      </c>
      <c r="D357" t="s">
        <v>233</v>
      </c>
    </row>
    <row r="358" spans="1:10">
      <c r="A358" s="5"/>
      <c r="B358" s="5" t="s">
        <v>11</v>
      </c>
      <c r="C358" s="8">
        <f>SUM(C354:C357)</f>
        <v>0.10875106202209006</v>
      </c>
    </row>
    <row r="359" spans="1:10">
      <c r="A359" s="5"/>
      <c r="C359" s="6"/>
    </row>
    <row r="360" spans="1:10">
      <c r="A360" s="5"/>
      <c r="C360" s="6"/>
    </row>
    <row r="361" spans="1:10">
      <c r="A361" s="5" t="s">
        <v>321</v>
      </c>
      <c r="C361" s="6"/>
      <c r="E361" s="14"/>
    </row>
    <row r="362" spans="1:10">
      <c r="A362" s="5"/>
      <c r="B362" t="s">
        <v>30</v>
      </c>
      <c r="C362" s="10">
        <v>0.05</v>
      </c>
      <c r="D362" t="s">
        <v>322</v>
      </c>
      <c r="J362" s="28"/>
    </row>
    <row r="363" spans="1:10">
      <c r="A363" s="5"/>
      <c r="B363" t="s">
        <v>87</v>
      </c>
      <c r="C363" s="10">
        <v>5.0000000000000001E-3</v>
      </c>
      <c r="D363" t="s">
        <v>323</v>
      </c>
      <c r="J363" s="23"/>
    </row>
    <row r="364" spans="1:10">
      <c r="A364" s="5"/>
      <c r="B364" t="s">
        <v>324</v>
      </c>
      <c r="C364" s="10">
        <f>0.75/A377</f>
        <v>2.1240441801189464E-2</v>
      </c>
      <c r="D364" t="s">
        <v>325</v>
      </c>
    </row>
    <row r="365" spans="1:10">
      <c r="A365" s="5"/>
      <c r="B365" t="s">
        <v>112</v>
      </c>
      <c r="C365" s="10">
        <f>0.185%*A379</f>
        <v>1.16365E-3</v>
      </c>
      <c r="D365" t="s">
        <v>326</v>
      </c>
    </row>
    <row r="366" spans="1:10">
      <c r="A366" s="5"/>
      <c r="B366" s="5" t="s">
        <v>11</v>
      </c>
      <c r="C366" s="8">
        <f>SUM(C362:C365)</f>
        <v>7.740409180118947E-2</v>
      </c>
    </row>
    <row r="367" spans="1:10">
      <c r="A367" s="5"/>
      <c r="C367" s="6"/>
    </row>
    <row r="368" spans="1:10">
      <c r="A368" s="5" t="s">
        <v>327</v>
      </c>
      <c r="C368" s="6"/>
    </row>
    <row r="369" spans="1:13">
      <c r="A369" s="5"/>
      <c r="B369" t="s">
        <v>30</v>
      </c>
      <c r="C369" s="10">
        <v>0.04</v>
      </c>
      <c r="D369" t="s">
        <v>58</v>
      </c>
      <c r="K369" s="34"/>
    </row>
    <row r="370" spans="1:13">
      <c r="A370" s="5"/>
      <c r="B370" t="s">
        <v>87</v>
      </c>
      <c r="C370" s="10">
        <v>1.4999999999999999E-2</v>
      </c>
      <c r="D370" t="s">
        <v>328</v>
      </c>
      <c r="K370" s="34"/>
    </row>
    <row r="371" spans="1:13">
      <c r="A371" s="5"/>
      <c r="B371" t="s">
        <v>19</v>
      </c>
      <c r="C371" s="10">
        <f>0.04/A377</f>
        <v>1.1328235627301047E-3</v>
      </c>
      <c r="D371" t="s">
        <v>329</v>
      </c>
      <c r="K371" s="34"/>
    </row>
    <row r="372" spans="1:13">
      <c r="A372" s="5"/>
      <c r="B372" t="s">
        <v>64</v>
      </c>
      <c r="C372" s="10">
        <f>2.4%*A379</f>
        <v>1.5096E-2</v>
      </c>
      <c r="D372" t="s">
        <v>330</v>
      </c>
      <c r="K372" s="19"/>
    </row>
    <row r="373" spans="1:13">
      <c r="A373" s="5"/>
      <c r="B373" t="s">
        <v>199</v>
      </c>
      <c r="C373" s="10">
        <f>0.75/A377</f>
        <v>2.1240441801189464E-2</v>
      </c>
      <c r="D373" t="s">
        <v>331</v>
      </c>
      <c r="K373" s="34"/>
      <c r="M373" s="11"/>
    </row>
    <row r="374" spans="1:13">
      <c r="A374" s="5"/>
      <c r="B374" s="5" t="s">
        <v>11</v>
      </c>
      <c r="C374" s="8">
        <f>SUM(C369:C373)</f>
        <v>9.246926536391957E-2</v>
      </c>
      <c r="D374" s="5"/>
      <c r="K374" s="34"/>
    </row>
    <row r="375" spans="1:13">
      <c r="A375" s="5"/>
      <c r="C375" s="6"/>
    </row>
    <row r="376" spans="1:13">
      <c r="A376" s="5" t="s">
        <v>332</v>
      </c>
      <c r="C376" s="6"/>
    </row>
    <row r="377" spans="1:13">
      <c r="A377" s="44">
        <v>35.31</v>
      </c>
      <c r="C377" s="6"/>
    </row>
    <row r="378" spans="1:13">
      <c r="A378" t="s">
        <v>333</v>
      </c>
      <c r="C378" s="6"/>
    </row>
    <row r="379" spans="1:13">
      <c r="A379" s="45">
        <v>0.629</v>
      </c>
      <c r="C379" s="6"/>
    </row>
    <row r="380" spans="1:13">
      <c r="C380" s="37"/>
    </row>
    <row r="381" spans="1:13">
      <c r="A381" s="5" t="s">
        <v>334</v>
      </c>
      <c r="B381" t="s">
        <v>335</v>
      </c>
      <c r="C381" s="37"/>
    </row>
    <row r="382" spans="1:13">
      <c r="A382" s="5"/>
      <c r="B382" t="s">
        <v>336</v>
      </c>
      <c r="C382" s="37"/>
    </row>
    <row r="383" spans="1:13">
      <c r="C383" s="37"/>
    </row>
    <row r="384" spans="1:13">
      <c r="B384" s="46" t="s">
        <v>337</v>
      </c>
      <c r="C384" s="37"/>
    </row>
    <row r="394" spans="8:8">
      <c r="H394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Carvajal</dc:creator>
  <cp:lastModifiedBy>Dan Carvajal</cp:lastModifiedBy>
  <dcterms:created xsi:type="dcterms:W3CDTF">2021-10-07T20:05:26Z</dcterms:created>
  <dcterms:modified xsi:type="dcterms:W3CDTF">2021-10-07T20:06:00Z</dcterms:modified>
</cp:coreProperties>
</file>