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vinKaufman\Dropbox (Tax Foundation)\PC\Downloads\"/>
    </mc:Choice>
  </mc:AlternateContent>
  <xr:revisionPtr revIDLastSave="0" documentId="8_{70A22F7F-E75E-436C-8C76-D3C695BBDEC1}" xr6:coauthVersionLast="47" xr6:coauthVersionMax="47" xr10:uidLastSave="{00000000-0000-0000-0000-000000000000}"/>
  <bookViews>
    <workbookView xWindow="-120" yWindow="-120" windowWidth="29040" windowHeight="15840" xr2:uid="{5DC8CF77-A778-4E20-AF35-485C15FFAF2A}"/>
  </bookViews>
  <sheets>
    <sheet name="TABLE 1" sheetId="2" r:id="rId1"/>
    <sheet name="TABLE 2" sheetId="3" r:id="rId2"/>
    <sheet name="TABLE 3" sheetId="4" r:id="rId3"/>
    <sheet name="TABLE 4" sheetId="5" r:id="rId4"/>
    <sheet name="TABLE 5" sheetId="6" r:id="rId5"/>
    <sheet name="TABLE 6" sheetId="7" r:id="rId6"/>
    <sheet name="TABLE 7" sheetId="8" r:id="rId7"/>
    <sheet name="TABLE B1" sheetId="9" r:id="rId8"/>
    <sheet name="APPENDIX C" sheetId="1" r:id="rId9"/>
  </sheets>
  <externalReferences>
    <externalReference r:id="rId10"/>
    <externalReference r:id="rId11"/>
    <externalReference r:id="rId12"/>
    <externalReference r:id="rId13"/>
  </externalReferenc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9" l="1"/>
  <c r="C146" i="1"/>
  <c r="C206" i="1"/>
  <c r="C224" i="1"/>
  <c r="C252" i="1"/>
  <c r="C266" i="1"/>
  <c r="C273" i="1"/>
  <c r="C345" i="1" l="1"/>
  <c r="B27" i="9"/>
  <c r="C26" i="9"/>
  <c r="B26" i="9"/>
  <c r="C25" i="9"/>
  <c r="B25" i="9"/>
  <c r="C24" i="9"/>
  <c r="B24" i="9"/>
  <c r="C23" i="9"/>
  <c r="B23" i="9"/>
  <c r="C22" i="9"/>
  <c r="B22" i="9"/>
  <c r="C21" i="9"/>
  <c r="B21" i="9"/>
  <c r="C20" i="9"/>
  <c r="B20" i="9"/>
  <c r="C19" i="9"/>
  <c r="B19" i="9"/>
  <c r="C18" i="9"/>
  <c r="B18" i="9"/>
  <c r="C17" i="9"/>
  <c r="B17" i="9"/>
  <c r="C16" i="9"/>
  <c r="B16" i="9"/>
  <c r="C15" i="9"/>
  <c r="B15" i="9"/>
  <c r="C14" i="9"/>
  <c r="B14" i="9"/>
  <c r="C13" i="9"/>
  <c r="B13" i="9"/>
  <c r="B12" i="9"/>
  <c r="B11" i="9"/>
  <c r="C10" i="9"/>
  <c r="B10" i="9"/>
  <c r="B9" i="9"/>
  <c r="B8" i="9"/>
  <c r="C7" i="9"/>
  <c r="B7" i="9"/>
  <c r="B6" i="9"/>
  <c r="E69" i="8"/>
  <c r="D69" i="8"/>
  <c r="D68" i="8"/>
  <c r="B34" i="7"/>
  <c r="C34" i="7" s="1"/>
  <c r="B33" i="7"/>
  <c r="C33" i="7" s="1"/>
  <c r="B32" i="7"/>
  <c r="C32" i="7" s="1"/>
  <c r="B31" i="7"/>
  <c r="C31" i="7" s="1"/>
  <c r="B30" i="7"/>
  <c r="C30" i="7" s="1"/>
  <c r="B29" i="7"/>
  <c r="C29" i="7" s="1"/>
  <c r="B28" i="7"/>
  <c r="C28" i="7" s="1"/>
  <c r="B27" i="7"/>
  <c r="C27" i="7" s="1"/>
  <c r="B26" i="7"/>
  <c r="C26" i="7" s="1"/>
  <c r="B25" i="7"/>
  <c r="C25" i="7" s="1"/>
  <c r="B18" i="7"/>
  <c r="C18" i="7" s="1"/>
  <c r="B17" i="7"/>
  <c r="C17" i="7" s="1"/>
  <c r="B16" i="7"/>
  <c r="C16" i="7" s="1"/>
  <c r="B15" i="7"/>
  <c r="C15" i="7" s="1"/>
  <c r="B14" i="7"/>
  <c r="C14" i="7" s="1"/>
  <c r="B13" i="7"/>
  <c r="C13" i="7" s="1"/>
  <c r="B12" i="7"/>
  <c r="C12" i="7" s="1"/>
  <c r="B11" i="7"/>
  <c r="C11" i="7" s="1"/>
  <c r="B10" i="7"/>
  <c r="C10" i="7" s="1"/>
  <c r="B9" i="7"/>
  <c r="C9" i="7" s="1"/>
  <c r="C61" i="4"/>
  <c r="D61" i="4" s="1"/>
  <c r="B61" i="4"/>
  <c r="C59" i="4"/>
  <c r="B59" i="4"/>
  <c r="D59" i="4" s="1"/>
  <c r="C58" i="4"/>
  <c r="D58" i="4" s="1"/>
  <c r="B58" i="4"/>
  <c r="C57" i="4"/>
  <c r="E57" i="4" s="1"/>
  <c r="B57" i="4"/>
  <c r="D56" i="4"/>
  <c r="C56" i="4"/>
  <c r="B56" i="4"/>
  <c r="C55" i="4"/>
  <c r="E55" i="4" s="1"/>
  <c r="B55" i="4"/>
  <c r="C54" i="4"/>
  <c r="D54" i="4" s="1"/>
  <c r="B54" i="4"/>
  <c r="E54" i="4" s="1"/>
  <c r="C53" i="4"/>
  <c r="E53" i="4" s="1"/>
  <c r="B53" i="4"/>
  <c r="C52" i="4"/>
  <c r="D52" i="4" s="1"/>
  <c r="B52" i="4"/>
  <c r="E52" i="4" s="1"/>
  <c r="C51" i="4"/>
  <c r="B51" i="4"/>
  <c r="D51" i="4" s="1"/>
  <c r="D50" i="4"/>
  <c r="C50" i="4"/>
  <c r="B50" i="4"/>
  <c r="C49" i="4"/>
  <c r="B49" i="4"/>
  <c r="D49" i="4" s="1"/>
  <c r="C48" i="4"/>
  <c r="B48" i="4"/>
  <c r="E48" i="4" s="1"/>
  <c r="C47" i="4"/>
  <c r="E47" i="4" s="1"/>
  <c r="B47" i="4"/>
  <c r="C46" i="4"/>
  <c r="B46" i="4"/>
  <c r="E46" i="4" s="1"/>
  <c r="C45" i="4"/>
  <c r="E45" i="4" s="1"/>
  <c r="B45" i="4"/>
  <c r="C44" i="4"/>
  <c r="D44" i="4" s="1"/>
  <c r="B44" i="4"/>
  <c r="C43" i="4"/>
  <c r="E43" i="4" s="1"/>
  <c r="B43" i="4"/>
  <c r="D43" i="4" s="1"/>
  <c r="C42" i="4"/>
  <c r="D42" i="4" s="1"/>
  <c r="B42" i="4"/>
  <c r="C41" i="4"/>
  <c r="B41" i="4"/>
  <c r="D41" i="4" s="1"/>
  <c r="D40" i="4"/>
  <c r="C40" i="4"/>
  <c r="B40" i="4"/>
  <c r="C39" i="4"/>
  <c r="B39" i="4"/>
  <c r="D39" i="4" s="1"/>
  <c r="C38" i="4"/>
  <c r="D38" i="4" s="1"/>
  <c r="B38" i="4"/>
  <c r="E38" i="4" s="1"/>
  <c r="C37" i="4"/>
  <c r="E37" i="4" s="1"/>
  <c r="B37" i="4"/>
  <c r="C36" i="4"/>
  <c r="D36" i="4" s="1"/>
  <c r="B36" i="4"/>
  <c r="E36" i="4" s="1"/>
  <c r="C35" i="4"/>
  <c r="B35" i="4"/>
  <c r="D35" i="4" s="1"/>
  <c r="D34" i="4"/>
  <c r="C34" i="4"/>
  <c r="B34" i="4"/>
  <c r="C33" i="4"/>
  <c r="B33" i="4"/>
  <c r="D33" i="4" s="1"/>
  <c r="C32" i="4"/>
  <c r="D32" i="4" s="1"/>
  <c r="B32" i="4"/>
  <c r="E32" i="4" s="1"/>
  <c r="C31" i="4"/>
  <c r="E31" i="4" s="1"/>
  <c r="B31" i="4"/>
  <c r="C30" i="4"/>
  <c r="B30" i="4"/>
  <c r="E30" i="4" s="1"/>
  <c r="C29" i="4"/>
  <c r="E29" i="4" s="1"/>
  <c r="B29" i="4"/>
  <c r="D29" i="4" s="1"/>
  <c r="C28" i="4"/>
  <c r="D28" i="4" s="1"/>
  <c r="B28" i="4"/>
  <c r="C27" i="4"/>
  <c r="E27" i="4" s="1"/>
  <c r="B27" i="4"/>
  <c r="C26" i="4"/>
  <c r="D26" i="4" s="1"/>
  <c r="B26" i="4"/>
  <c r="E26" i="4" s="1"/>
  <c r="C25" i="4"/>
  <c r="B25" i="4"/>
  <c r="C24" i="4"/>
  <c r="B24" i="4"/>
  <c r="C23" i="4"/>
  <c r="D23" i="4" s="1"/>
  <c r="B23" i="4"/>
  <c r="E23" i="4" s="1"/>
  <c r="C22" i="4"/>
  <c r="B22" i="4"/>
  <c r="E21" i="4"/>
  <c r="C21" i="4"/>
  <c r="D21" i="4" s="1"/>
  <c r="B21" i="4"/>
  <c r="C20" i="4"/>
  <c r="B20" i="4"/>
  <c r="C19" i="4"/>
  <c r="B19" i="4"/>
  <c r="C18" i="4"/>
  <c r="E18" i="4" s="1"/>
  <c r="B18" i="4"/>
  <c r="C17" i="4"/>
  <c r="B17" i="4"/>
  <c r="D17" i="4" s="1"/>
  <c r="C16" i="4"/>
  <c r="B16" i="4"/>
  <c r="D16" i="4" s="1"/>
  <c r="C15" i="4"/>
  <c r="D15" i="4" s="1"/>
  <c r="B15" i="4"/>
  <c r="C14" i="4"/>
  <c r="E14" i="4" s="1"/>
  <c r="B14" i="4"/>
  <c r="D14" i="4" s="1"/>
  <c r="C13" i="4"/>
  <c r="D13" i="4" s="1"/>
  <c r="B13" i="4"/>
  <c r="E13" i="4" s="1"/>
  <c r="C12" i="4"/>
  <c r="B12" i="4"/>
  <c r="D12" i="4" s="1"/>
  <c r="D11" i="4"/>
  <c r="C11" i="4"/>
  <c r="B11" i="4"/>
  <c r="E11" i="4" s="1"/>
  <c r="C10" i="4"/>
  <c r="B10" i="4"/>
  <c r="D10" i="4" s="1"/>
  <c r="C9" i="4"/>
  <c r="D9" i="4" s="1"/>
  <c r="B9" i="4"/>
  <c r="E9" i="4" s="1"/>
  <c r="C8" i="4"/>
  <c r="E8" i="4" s="1"/>
  <c r="B8" i="4"/>
  <c r="C61" i="3"/>
  <c r="C59" i="3"/>
  <c r="C58" i="3"/>
  <c r="C57" i="3"/>
  <c r="C56" i="3"/>
  <c r="C54" i="3"/>
  <c r="C55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D8" i="3"/>
  <c r="D9" i="3" s="1"/>
  <c r="C8" i="3"/>
  <c r="C63" i="3" s="1"/>
  <c r="S13" i="2"/>
  <c r="R13" i="2"/>
  <c r="P13" i="2"/>
  <c r="O13" i="2"/>
  <c r="N13" i="2"/>
  <c r="M13" i="2"/>
  <c r="L13" i="2"/>
  <c r="K13" i="2"/>
  <c r="I13" i="2"/>
  <c r="H13" i="2"/>
  <c r="G13" i="2"/>
  <c r="F13" i="2"/>
  <c r="E13" i="2"/>
  <c r="D13" i="2"/>
  <c r="C13" i="2"/>
  <c r="B13" i="2"/>
  <c r="Q11" i="2"/>
  <c r="M11" i="2"/>
  <c r="J11" i="2"/>
  <c r="J13" i="2" s="1"/>
  <c r="E11" i="2"/>
  <c r="R9" i="2"/>
  <c r="O9" i="2"/>
  <c r="M9" i="2"/>
  <c r="K9" i="2"/>
  <c r="J9" i="2"/>
  <c r="I9" i="2"/>
  <c r="H9" i="2"/>
  <c r="F9" i="2"/>
  <c r="E9" i="2"/>
  <c r="D9" i="2"/>
  <c r="C9" i="2"/>
  <c r="B9" i="2"/>
  <c r="S8" i="2"/>
  <c r="S9" i="2" s="1"/>
  <c r="R8" i="2"/>
  <c r="Q8" i="2"/>
  <c r="P8" i="2"/>
  <c r="P9" i="2" s="1"/>
  <c r="O8" i="2"/>
  <c r="N8" i="2"/>
  <c r="N9" i="2" s="1"/>
  <c r="L8" i="2"/>
  <c r="L9" i="2" s="1"/>
  <c r="G8" i="2"/>
  <c r="G9" i="2" s="1"/>
  <c r="Q7" i="2"/>
  <c r="Q9" i="2" s="1"/>
  <c r="C377" i="1"/>
  <c r="C376" i="1"/>
  <c r="C375" i="1"/>
  <c r="C374" i="1"/>
  <c r="C369" i="1"/>
  <c r="C368" i="1"/>
  <c r="C367" i="1"/>
  <c r="C360" i="1"/>
  <c r="C361" i="1" s="1"/>
  <c r="C359" i="1"/>
  <c r="C358" i="1"/>
  <c r="C353" i="1"/>
  <c r="C352" i="1"/>
  <c r="C351" i="1"/>
  <c r="C350" i="1"/>
  <c r="C349" i="1"/>
  <c r="C354" i="1" s="1"/>
  <c r="C344" i="1"/>
  <c r="C343" i="1"/>
  <c r="C339" i="1"/>
  <c r="C332" i="1"/>
  <c r="C331" i="1"/>
  <c r="C330" i="1"/>
  <c r="C328" i="1"/>
  <c r="C333" i="1" s="1"/>
  <c r="C323" i="1"/>
  <c r="C322" i="1"/>
  <c r="C321" i="1"/>
  <c r="C324" i="1" s="1"/>
  <c r="C315" i="1"/>
  <c r="C316" i="1" s="1"/>
  <c r="C310" i="1"/>
  <c r="C309" i="1"/>
  <c r="C308" i="1"/>
  <c r="C307" i="1"/>
  <c r="C306" i="1"/>
  <c r="C300" i="1"/>
  <c r="C299" i="1"/>
  <c r="C298" i="1"/>
  <c r="C301" i="1" s="1"/>
  <c r="C292" i="1"/>
  <c r="C291" i="1"/>
  <c r="C285" i="1"/>
  <c r="C286" i="1" s="1"/>
  <c r="C284" i="1"/>
  <c r="C280" i="1"/>
  <c r="C281" i="1" s="1"/>
  <c r="C272" i="1"/>
  <c r="C271" i="1"/>
  <c r="C270" i="1"/>
  <c r="C265" i="1"/>
  <c r="C264" i="1"/>
  <c r="C263" i="1"/>
  <c r="C259" i="1"/>
  <c r="C258" i="1"/>
  <c r="C257" i="1"/>
  <c r="C251" i="1"/>
  <c r="C250" i="1"/>
  <c r="C249" i="1"/>
  <c r="C242" i="1"/>
  <c r="C243" i="1" s="1"/>
  <c r="C241" i="1"/>
  <c r="C235" i="1"/>
  <c r="C234" i="1"/>
  <c r="C233" i="1"/>
  <c r="C232" i="1"/>
  <c r="C230" i="1"/>
  <c r="C229" i="1"/>
  <c r="C237" i="1" s="1"/>
  <c r="C223" i="1"/>
  <c r="C222" i="1"/>
  <c r="C221" i="1"/>
  <c r="C220" i="1"/>
  <c r="C215" i="1"/>
  <c r="C216" i="1" s="1"/>
  <c r="C211" i="1"/>
  <c r="C210" i="1"/>
  <c r="C205" i="1"/>
  <c r="C204" i="1"/>
  <c r="C203" i="1"/>
  <c r="C202" i="1"/>
  <c r="C198" i="1"/>
  <c r="C199" i="1" s="1"/>
  <c r="C197" i="1"/>
  <c r="C196" i="1"/>
  <c r="C195" i="1"/>
  <c r="C194" i="1"/>
  <c r="C189" i="1"/>
  <c r="C188" i="1"/>
  <c r="C190" i="1" s="1"/>
  <c r="C184" i="1"/>
  <c r="C182" i="1"/>
  <c r="C177" i="1"/>
  <c r="C178" i="1" s="1"/>
  <c r="C172" i="1"/>
  <c r="C171" i="1"/>
  <c r="C170" i="1"/>
  <c r="C173" i="1" s="1"/>
  <c r="C166" i="1"/>
  <c r="C164" i="1"/>
  <c r="C163" i="1"/>
  <c r="C158" i="1"/>
  <c r="C159" i="1" s="1"/>
  <c r="C153" i="1"/>
  <c r="C152" i="1"/>
  <c r="C151" i="1"/>
  <c r="C154" i="1" s="1"/>
  <c r="C150" i="1"/>
  <c r="C145" i="1"/>
  <c r="C144" i="1"/>
  <c r="C143" i="1"/>
  <c r="C142" i="1"/>
  <c r="C138" i="1"/>
  <c r="C137" i="1"/>
  <c r="C136" i="1"/>
  <c r="C135" i="1"/>
  <c r="C129" i="1"/>
  <c r="C128" i="1"/>
  <c r="C127" i="1"/>
  <c r="C131" i="1" s="1"/>
  <c r="C121" i="1"/>
  <c r="C122" i="1" s="1"/>
  <c r="C120" i="1"/>
  <c r="C119" i="1"/>
  <c r="C114" i="1"/>
  <c r="C115" i="1" s="1"/>
  <c r="C113" i="1"/>
  <c r="C107" i="1"/>
  <c r="C106" i="1"/>
  <c r="C108" i="1" s="1"/>
  <c r="C105" i="1"/>
  <c r="C104" i="1"/>
  <c r="C98" i="1"/>
  <c r="C99" i="1" s="1"/>
  <c r="C97" i="1"/>
  <c r="C96" i="1"/>
  <c r="C91" i="1"/>
  <c r="C92" i="1" s="1"/>
  <c r="C86" i="1"/>
  <c r="C85" i="1"/>
  <c r="C87" i="1" s="1"/>
  <c r="C79" i="1"/>
  <c r="C78" i="1"/>
  <c r="C77" i="1"/>
  <c r="C80" i="1" s="1"/>
  <c r="C74" i="1"/>
  <c r="C73" i="1"/>
  <c r="C72" i="1"/>
  <c r="C71" i="1"/>
  <c r="C68" i="1"/>
  <c r="C67" i="1"/>
  <c r="C62" i="1"/>
  <c r="C61" i="1"/>
  <c r="C63" i="1" s="1"/>
  <c r="C57" i="1"/>
  <c r="C56" i="1"/>
  <c r="C51" i="1"/>
  <c r="C50" i="1"/>
  <c r="C49" i="1"/>
  <c r="C48" i="1"/>
  <c r="C47" i="1"/>
  <c r="C52" i="1" s="1"/>
  <c r="C46" i="1"/>
  <c r="C41" i="1"/>
  <c r="C40" i="1"/>
  <c r="C39" i="1"/>
  <c r="C38" i="1"/>
  <c r="C37" i="1"/>
  <c r="C36" i="1"/>
  <c r="C35" i="1"/>
  <c r="C42" i="1" s="1"/>
  <c r="C30" i="1"/>
  <c r="C29" i="1"/>
  <c r="C28" i="1"/>
  <c r="C27" i="1"/>
  <c r="C31" i="1" s="1"/>
  <c r="C22" i="1"/>
  <c r="C23" i="1" s="1"/>
  <c r="C21" i="1"/>
  <c r="C15" i="1"/>
  <c r="C14" i="1"/>
  <c r="C13" i="1"/>
  <c r="C16" i="1" s="1"/>
  <c r="C8" i="1"/>
  <c r="C9" i="1" s="1"/>
  <c r="E15" i="4" l="1"/>
  <c r="E28" i="4"/>
  <c r="D31" i="4"/>
  <c r="E44" i="4"/>
  <c r="D47" i="4"/>
  <c r="E61" i="4"/>
  <c r="D57" i="4"/>
  <c r="E12" i="4"/>
  <c r="E41" i="4"/>
  <c r="D19" i="4"/>
  <c r="D22" i="4"/>
  <c r="E35" i="4"/>
  <c r="E42" i="4"/>
  <c r="D45" i="4"/>
  <c r="E51" i="4"/>
  <c r="E58" i="4"/>
  <c r="D25" i="4"/>
  <c r="D48" i="4"/>
  <c r="D55" i="4"/>
  <c r="E16" i="4"/>
  <c r="E19" i="4"/>
  <c r="E10" i="4"/>
  <c r="E39" i="4"/>
  <c r="E20" i="4"/>
  <c r="D27" i="4"/>
  <c r="E33" i="4"/>
  <c r="E40" i="4"/>
  <c r="E49" i="4"/>
  <c r="E56" i="4"/>
  <c r="D8" i="4"/>
  <c r="D24" i="4"/>
  <c r="D30" i="4"/>
  <c r="E34" i="4"/>
  <c r="D37" i="4"/>
  <c r="D46" i="4"/>
  <c r="E50" i="4"/>
  <c r="D53" i="4"/>
  <c r="E59" i="4"/>
  <c r="D18" i="4"/>
  <c r="D20" i="4"/>
  <c r="D10" i="3"/>
  <c r="E9" i="3"/>
  <c r="E8" i="3"/>
  <c r="Q13" i="2"/>
  <c r="E10" i="3" l="1"/>
  <c r="D11" i="3"/>
  <c r="D12" i="3" l="1"/>
  <c r="E11" i="3"/>
  <c r="D13" i="3" l="1"/>
  <c r="E12" i="3"/>
  <c r="D14" i="3" l="1"/>
  <c r="E13" i="3"/>
  <c r="D15" i="3" l="1"/>
  <c r="E14" i="3"/>
  <c r="D16" i="3" l="1"/>
  <c r="E15" i="3"/>
  <c r="D17" i="3" l="1"/>
  <c r="E16" i="3"/>
  <c r="D18" i="3" l="1"/>
  <c r="E17" i="3"/>
  <c r="E18" i="3" l="1"/>
  <c r="D19" i="3"/>
  <c r="D20" i="3" l="1"/>
  <c r="E19" i="3"/>
  <c r="D21" i="3" l="1"/>
  <c r="E20" i="3"/>
  <c r="D22" i="3" l="1"/>
  <c r="E21" i="3"/>
  <c r="E22" i="3" l="1"/>
  <c r="D23" i="3"/>
  <c r="D24" i="3" l="1"/>
  <c r="E23" i="3"/>
  <c r="D25" i="3" l="1"/>
  <c r="E24" i="3"/>
  <c r="D26" i="3" l="1"/>
  <c r="E25" i="3"/>
  <c r="D27" i="3" l="1"/>
  <c r="E26" i="3"/>
  <c r="D28" i="3" l="1"/>
  <c r="E27" i="3"/>
  <c r="D29" i="3" l="1"/>
  <c r="E28" i="3"/>
  <c r="D30" i="3" l="1"/>
  <c r="E29" i="3"/>
  <c r="E30" i="3" l="1"/>
  <c r="D31" i="3"/>
  <c r="D32" i="3" l="1"/>
  <c r="E31" i="3"/>
  <c r="D33" i="3" l="1"/>
  <c r="E32" i="3"/>
  <c r="D34" i="3" l="1"/>
  <c r="E33" i="3"/>
  <c r="D35" i="3" l="1"/>
  <c r="E34" i="3"/>
  <c r="D36" i="3" l="1"/>
  <c r="E35" i="3"/>
  <c r="D37" i="3" l="1"/>
  <c r="E36" i="3"/>
  <c r="E37" i="3" l="1"/>
  <c r="D38" i="3"/>
  <c r="E38" i="3" l="1"/>
  <c r="D39" i="3"/>
  <c r="D40" i="3" l="1"/>
  <c r="E39" i="3"/>
  <c r="D41" i="3" l="1"/>
  <c r="E40" i="3"/>
  <c r="D42" i="3" l="1"/>
  <c r="E41" i="3"/>
  <c r="E42" i="3" l="1"/>
  <c r="D43" i="3"/>
  <c r="D44" i="3" l="1"/>
  <c r="E43" i="3"/>
  <c r="D45" i="3" l="1"/>
  <c r="E44" i="3"/>
  <c r="E45" i="3" l="1"/>
  <c r="D46" i="3"/>
  <c r="D47" i="3" l="1"/>
  <c r="E46" i="3"/>
  <c r="D48" i="3" l="1"/>
  <c r="E47" i="3"/>
  <c r="D49" i="3" l="1"/>
  <c r="E48" i="3"/>
  <c r="D50" i="3" l="1"/>
  <c r="E49" i="3"/>
  <c r="E50" i="3" l="1"/>
  <c r="D51" i="3"/>
  <c r="D52" i="3" l="1"/>
  <c r="E51" i="3"/>
  <c r="D53" i="3" l="1"/>
  <c r="E52" i="3"/>
  <c r="E53" i="3" l="1"/>
  <c r="D55" i="3"/>
  <c r="E55" i="3" l="1"/>
  <c r="D54" i="3"/>
  <c r="D56" i="3" l="1"/>
  <c r="E54" i="3"/>
  <c r="D57" i="3" l="1"/>
  <c r="E56" i="3"/>
  <c r="D58" i="3" l="1"/>
  <c r="E57" i="3"/>
  <c r="E58" i="3" l="1"/>
  <c r="D59" i="3"/>
  <c r="D61" i="3" l="1"/>
  <c r="E59" i="3"/>
  <c r="D63" i="3" l="1"/>
  <c r="E63" i="3" s="1"/>
  <c r="E61" i="3"/>
</calcChain>
</file>

<file path=xl/sharedStrings.xml><?xml version="1.0" encoding="utf-8"?>
<sst xmlns="http://schemas.openxmlformats.org/spreadsheetml/2006/main" count="897" uniqueCount="533">
  <si>
    <t>APPENDIX C</t>
  </si>
  <si>
    <t>State and Local Transaction Taxes, Fees, and Government Charges on Wireless Service  -- July 1, 2022</t>
  </si>
  <si>
    <t>STATE</t>
  </si>
  <si>
    <t>TYPE OF TAX</t>
  </si>
  <si>
    <t>RATE</t>
  </si>
  <si>
    <t>COMMENTS</t>
  </si>
  <si>
    <t>Alabama</t>
  </si>
  <si>
    <t>AL Cell Service Tax</t>
  </si>
  <si>
    <t>Access, interstate and intrastate</t>
  </si>
  <si>
    <t>E911</t>
  </si>
  <si>
    <t>$1.86 per month</t>
  </si>
  <si>
    <t>TOTAL TRANSACTION TAX</t>
  </si>
  <si>
    <t>Alaska</t>
  </si>
  <si>
    <t>Local Sales Tax</t>
  </si>
  <si>
    <t>Avg. of Juneau (5%) &amp; Anchorage (0%)</t>
  </si>
  <si>
    <t>Local E911</t>
  </si>
  <si>
    <t>Anchorage - $2.00; Juneau - $1.90</t>
  </si>
  <si>
    <t xml:space="preserve">State USF </t>
  </si>
  <si>
    <t>10.0% times FCC safe harbor</t>
  </si>
  <si>
    <t>TRS</t>
  </si>
  <si>
    <t>$0.01 per line</t>
  </si>
  <si>
    <t>Arizona</t>
  </si>
  <si>
    <t>State sales (transaction priv.)</t>
  </si>
  <si>
    <t>Intrastate telecommunications service</t>
  </si>
  <si>
    <t>County sales (transaction priv.)</t>
  </si>
  <si>
    <t>Phoenix (Maricopa) = 0.7%; Tucson (Pima) = 0.5%</t>
  </si>
  <si>
    <t>City telecommunications</t>
  </si>
  <si>
    <t>Avg. Phoenix (4.7%) &amp; Tucson (7.1%)</t>
  </si>
  <si>
    <t>$.20 per month</t>
  </si>
  <si>
    <t>Arkansas</t>
  </si>
  <si>
    <t>State sales tax</t>
  </si>
  <si>
    <t>Local sales taxes</t>
  </si>
  <si>
    <r>
      <t>Avg. Little R</t>
    </r>
    <r>
      <rPr>
        <sz val="10"/>
        <color theme="1"/>
        <rFont val="Arial"/>
        <family val="2"/>
      </rPr>
      <t>ock (2.125%) &amp; Fa</t>
    </r>
    <r>
      <rPr>
        <sz val="10"/>
        <rFont val="Arial"/>
        <family val="2"/>
      </rPr>
      <t>yetteville (3.25%)</t>
    </r>
  </si>
  <si>
    <t>State High Cost Fund</t>
  </si>
  <si>
    <t>11.25% times FCC safe harbor</t>
  </si>
  <si>
    <t>Wireless 911</t>
  </si>
  <si>
    <t xml:space="preserve">$1.30 / month statewide.  </t>
  </si>
  <si>
    <t>TRS service &amp; TRS equipment</t>
  </si>
  <si>
    <t>$.03 per line per month</t>
  </si>
  <si>
    <t>California</t>
  </si>
  <si>
    <t>Local Utility User Tax</t>
  </si>
  <si>
    <t>Avg. of LA (9%) and Sacramento (7%)</t>
  </si>
  <si>
    <t>State 911</t>
  </si>
  <si>
    <t>30 cents per line per month</t>
  </si>
  <si>
    <t>PUC fee</t>
  </si>
  <si>
    <t>0.52% times FCC safe harbor</t>
  </si>
  <si>
    <t>ULTS (lifeline)</t>
  </si>
  <si>
    <t>4.75% times FCC safe harbor</t>
  </si>
  <si>
    <t>Deaf/CRS</t>
  </si>
  <si>
    <t>1.11% times FCC safe harbor</t>
  </si>
  <si>
    <t>High Cost Funds A &amp; B</t>
  </si>
  <si>
    <t>0.7% times FCC safe harbor</t>
  </si>
  <si>
    <t>Teleconnect Fund</t>
  </si>
  <si>
    <t>0.78% times FCC safe harbor</t>
  </si>
  <si>
    <t>CASF - advanced services fund</t>
  </si>
  <si>
    <t>1.02% times FCC safe harbor</t>
  </si>
  <si>
    <t>Colorado</t>
  </si>
  <si>
    <t>State Sales Tax</t>
  </si>
  <si>
    <t>access and intrastate</t>
  </si>
  <si>
    <t>Local Sales Tax -- City/County</t>
  </si>
  <si>
    <t>Avg. of Denver (5.91%) &amp; Colorado Springs (2.23%)</t>
  </si>
  <si>
    <t>$.09 per line per month</t>
  </si>
  <si>
    <t>County 911</t>
  </si>
  <si>
    <t>Denver ($1.20) / Colorado Springs ($1.35)</t>
  </si>
  <si>
    <t>USF</t>
  </si>
  <si>
    <t>2.6% times FCC safe harbor</t>
  </si>
  <si>
    <t>TDD Tax</t>
  </si>
  <si>
    <t>$0.06 per month</t>
  </si>
  <si>
    <t>State 988 fee</t>
  </si>
  <si>
    <t>$0.18 per month</t>
  </si>
  <si>
    <t>Connecticut</t>
  </si>
  <si>
    <t>$.70 per line</t>
  </si>
  <si>
    <t>Delaware</t>
  </si>
  <si>
    <t>Public Utility Gross Receipts Tax</t>
  </si>
  <si>
    <r>
      <t xml:space="preserve">Access and </t>
    </r>
    <r>
      <rPr>
        <sz val="11"/>
        <color theme="1"/>
        <rFont val="Calibri (Body)"/>
      </rPr>
      <t>intrastate</t>
    </r>
  </si>
  <si>
    <t>Local 911 tax</t>
  </si>
  <si>
    <t>$.60 / month</t>
  </si>
  <si>
    <t>TRS fee</t>
  </si>
  <si>
    <t>$.02 per line per month</t>
  </si>
  <si>
    <t>District of Columbia</t>
  </si>
  <si>
    <t>Telecommunication Privilege Tax</t>
  </si>
  <si>
    <t xml:space="preserve">Monthly gross charge; </t>
  </si>
  <si>
    <t>$0.76 per month</t>
  </si>
  <si>
    <t>Florida</t>
  </si>
  <si>
    <t>State Communications services</t>
  </si>
  <si>
    <t>Local Communications services</t>
  </si>
  <si>
    <t>Jacksonville 6.02%; Tallahassee 6.9%</t>
  </si>
  <si>
    <t>$.40/month statewide</t>
  </si>
  <si>
    <t>Georgia</t>
  </si>
  <si>
    <t xml:space="preserve">4% of "access charge" -- assume $35 </t>
  </si>
  <si>
    <t>Local sales tax</t>
  </si>
  <si>
    <t>Avg. rate Atlanta (4.5%) &amp; Augusta (4%)</t>
  </si>
  <si>
    <t>Local 911</t>
  </si>
  <si>
    <t>$1.50 per line statewide</t>
  </si>
  <si>
    <t>Hawaii</t>
  </si>
  <si>
    <t>Public service company tax</t>
  </si>
  <si>
    <t>Additional county tax</t>
  </si>
  <si>
    <t>PUC Fee</t>
  </si>
  <si>
    <t>0.25% of intrastate receipts</t>
  </si>
  <si>
    <t>Wireless 911 fee</t>
  </si>
  <si>
    <t>$.66 per month</t>
  </si>
  <si>
    <t>Idaho</t>
  </si>
  <si>
    <t>Telephone service assistance program</t>
  </si>
  <si>
    <t>Set annually by PUC -- currently zero</t>
  </si>
  <si>
    <t>Statewide wireless 911</t>
  </si>
  <si>
    <t xml:space="preserve">Ada County (Boise) =  $1.00 per month </t>
  </si>
  <si>
    <t>Illinois</t>
  </si>
  <si>
    <t>State telecom excise tax</t>
  </si>
  <si>
    <t>Simplified municipal tax</t>
  </si>
  <si>
    <t>Avg. of Chicago (7%) &amp; Springfield (6%)</t>
  </si>
  <si>
    <t xml:space="preserve">Chicago $5/mo.; others $1.50/mo </t>
  </si>
  <si>
    <t>Indiana</t>
  </si>
  <si>
    <t>Access and intrastate</t>
  </si>
  <si>
    <t>Utility receipts tax</t>
  </si>
  <si>
    <t>Repealed effective 7/1/2022</t>
  </si>
  <si>
    <t>$1.00 per month</t>
  </si>
  <si>
    <t>State USF</t>
  </si>
  <si>
    <t>2.3% times FCC safe harbor</t>
  </si>
  <si>
    <t>0.12% times FCC safe harbor</t>
  </si>
  <si>
    <t>Iowa</t>
  </si>
  <si>
    <t>Local option sales taxes</t>
  </si>
  <si>
    <t>Avg. of Cedar Rapids (1%) &amp; Des Moines (1%)</t>
  </si>
  <si>
    <t>Dual Party Relay Service fee</t>
  </si>
  <si>
    <t>$0.03 per month</t>
  </si>
  <si>
    <t>Kansas</t>
  </si>
  <si>
    <t>Intrastate &amp; interstate</t>
  </si>
  <si>
    <t>Avg. of Wichita (1.0%) &amp; Topeka (2.65%)</t>
  </si>
  <si>
    <t>$.90 per month per line</t>
  </si>
  <si>
    <t>Kentucky</t>
  </si>
  <si>
    <t>School utility gross receipts</t>
  </si>
  <si>
    <t>Avg Frankfort (3%) and Lousiville (0%)</t>
  </si>
  <si>
    <t>Kentucky USF</t>
  </si>
  <si>
    <t>$.15 per month</t>
  </si>
  <si>
    <t>Kentucky TAP &amp; TRS</t>
  </si>
  <si>
    <t>TAP: $0.02 and TRS:  $0.01</t>
  </si>
  <si>
    <t>$.70 / month</t>
  </si>
  <si>
    <t>Communications gross receipts tax</t>
  </si>
  <si>
    <t>Louisiana</t>
  </si>
  <si>
    <t>Intrastate rate</t>
  </si>
  <si>
    <t>New Orleans $1.25/mo.; Baton Rouge $.85/mo.</t>
  </si>
  <si>
    <t xml:space="preserve">May vary by carrier </t>
  </si>
  <si>
    <t>$.05 per line per month</t>
  </si>
  <si>
    <t>Maine</t>
  </si>
  <si>
    <t>State service provider tax</t>
  </si>
  <si>
    <t>911 fee</t>
  </si>
  <si>
    <t>$.35 per month</t>
  </si>
  <si>
    <t>Maine USF</t>
  </si>
  <si>
    <t>$0.44 per line</t>
  </si>
  <si>
    <t>MTEAF</t>
  </si>
  <si>
    <t>$0.21 per line per month</t>
  </si>
  <si>
    <t>$.10 per line per month</t>
  </si>
  <si>
    <t>Maryland</t>
  </si>
  <si>
    <t>Local telecom excise</t>
  </si>
  <si>
    <t>$4.00 per month in Baltimore; no tax in Annapolis</t>
  </si>
  <si>
    <t>$.50 per month per line</t>
  </si>
  <si>
    <t>Baltimore $1.00; Anne Arundel $.75</t>
  </si>
  <si>
    <t>$0.05 per account</t>
  </si>
  <si>
    <t>Massachusetts</t>
  </si>
  <si>
    <t>Interstate and intrastate</t>
  </si>
  <si>
    <t>$1.50 per month</t>
  </si>
  <si>
    <t>Michigan</t>
  </si>
  <si>
    <t>State wireless 911</t>
  </si>
  <si>
    <t xml:space="preserve">$.25 per month </t>
  </si>
  <si>
    <t>County wireless 911</t>
  </si>
  <si>
    <t>Detroit $.42; Lansing $1.80</t>
  </si>
  <si>
    <t>Intrastate toll assessment</t>
  </si>
  <si>
    <t>Assessment expired May 2022</t>
  </si>
  <si>
    <t>Minnesota</t>
  </si>
  <si>
    <t>Minneapolis (1.15%) and St. Paul (1.0%)</t>
  </si>
  <si>
    <t>$.80 per month</t>
  </si>
  <si>
    <t>Telecom access MN fund</t>
  </si>
  <si>
    <t>$.06 per line per month</t>
  </si>
  <si>
    <t>Mississippi</t>
  </si>
  <si>
    <t>Wireless 911 &amp; 911 training fee</t>
  </si>
  <si>
    <t>$1.05 per month per line</t>
  </si>
  <si>
    <t>Missouri</t>
  </si>
  <si>
    <t>Avg. Jefferson City (3.75%) &amp; Kansas City (4.875%)</t>
  </si>
  <si>
    <t>Local business license tax</t>
  </si>
  <si>
    <t xml:space="preserve">Jefferson City (7%); Kansas City (6% residential) </t>
  </si>
  <si>
    <t>Montana</t>
  </si>
  <si>
    <t>Telecom excise tax</t>
  </si>
  <si>
    <t>911 &amp; E911 tax</t>
  </si>
  <si>
    <t>$1.00 per number per month</t>
  </si>
  <si>
    <t>TDD tax</t>
  </si>
  <si>
    <t>$.10 per number per month</t>
  </si>
  <si>
    <t>Nebraska</t>
  </si>
  <si>
    <t>Access &amp; intrastate</t>
  </si>
  <si>
    <t>Lincoln (1.75%) and Omaha (1.5%)</t>
  </si>
  <si>
    <t>City business and occupation tax</t>
  </si>
  <si>
    <t>Avg. of Omaha (6.25%) &amp; Lincoln (6.0%)</t>
  </si>
  <si>
    <t>$1.75 per line per month</t>
  </si>
  <si>
    <t>$.45 per month</t>
  </si>
  <si>
    <t xml:space="preserve"> $.03 per month</t>
  </si>
  <si>
    <t>Nevada</t>
  </si>
  <si>
    <t>Local franchise / gross receipts</t>
  </si>
  <si>
    <t>5% of first $15 intrastate revenues</t>
  </si>
  <si>
    <t>Washoe County = $.85 / month; Clark County no tax</t>
  </si>
  <si>
    <t>State deaf relay charge</t>
  </si>
  <si>
    <t>$.07 per access line</t>
  </si>
  <si>
    <t xml:space="preserve">Nevada USF </t>
  </si>
  <si>
    <t>0.57% times FCC Safe Harbor</t>
  </si>
  <si>
    <t>New Hampshire</t>
  </si>
  <si>
    <t>Communication services tax</t>
  </si>
  <si>
    <t>911 tax</t>
  </si>
  <si>
    <t>$.75 per month</t>
  </si>
  <si>
    <t>New Jersey</t>
  </si>
  <si>
    <t xml:space="preserve">$.90 per month </t>
  </si>
  <si>
    <t>New Mexico</t>
  </si>
  <si>
    <t>State gross receipts (sales) tax</t>
  </si>
  <si>
    <t>5% intrastate; 4.25% interstate</t>
  </si>
  <si>
    <t>City and county gross receipts tax</t>
  </si>
  <si>
    <t>Avg. Santa Fe (3.3125%) &amp; Albuquerque (2.75%)</t>
  </si>
  <si>
    <t>$.51 per month</t>
  </si>
  <si>
    <t>TRS surcharge</t>
  </si>
  <si>
    <t>0.33% times FCC safe harbor</t>
  </si>
  <si>
    <t>$0.95 per line per month</t>
  </si>
  <si>
    <t>New York</t>
  </si>
  <si>
    <t>Intrastate and monthly access</t>
  </si>
  <si>
    <t>NYC 4.5%; Albany 4%</t>
  </si>
  <si>
    <t>MCTD sales tax</t>
  </si>
  <si>
    <t>NYC 0.375%; Albany 0%</t>
  </si>
  <si>
    <t>State excise tax (186e)</t>
  </si>
  <si>
    <t>mobile telecom service -- includes interstate</t>
  </si>
  <si>
    <t>MCTD excise/surcharge (186c)</t>
  </si>
  <si>
    <t>NYC &amp; surrounding counties - .72%; Albany 0%</t>
  </si>
  <si>
    <t xml:space="preserve">Local utility gross receipts tax </t>
  </si>
  <si>
    <t>NYC -- 84% of 2.35%; Albany 1%</t>
  </si>
  <si>
    <t xml:space="preserve">$1.20 per month </t>
  </si>
  <si>
    <t>Local wireless 911</t>
  </si>
  <si>
    <t>$.30 per month -- NYC &amp; most counties</t>
  </si>
  <si>
    <t xml:space="preserve">School district utility sales tax </t>
  </si>
  <si>
    <t xml:space="preserve"> Albany 3%; NYC no tax</t>
  </si>
  <si>
    <t>North Carolina</t>
  </si>
  <si>
    <t>State and loccal sales tax</t>
  </si>
  <si>
    <t>Statewide combined rate includes local rates</t>
  </si>
  <si>
    <t>$.65 per month</t>
  </si>
  <si>
    <t>TRS Charge</t>
  </si>
  <si>
    <t>$.08 per month</t>
  </si>
  <si>
    <t>North Dakota</t>
  </si>
  <si>
    <t>Avg Fargo (2.5%) &amp; Bismarck (2.0%)</t>
  </si>
  <si>
    <t>State gross receipts tax</t>
  </si>
  <si>
    <t>interstate and intrastate</t>
  </si>
  <si>
    <t>Statewide Interoperable Radio Network Tax</t>
  </si>
  <si>
    <t>$0.50 per line per month</t>
  </si>
  <si>
    <t>$1.50 Bismarck; $1.50 Fargo</t>
  </si>
  <si>
    <t>Up to $.11/mo -- currently $.03</t>
  </si>
  <si>
    <t>Ohio</t>
  </si>
  <si>
    <t>Columbus (1.75%) and Cleveland (2.25%)</t>
  </si>
  <si>
    <t>Regulatory fee</t>
  </si>
  <si>
    <t>0.174% of intrastate revenues</t>
  </si>
  <si>
    <t>State/local wireless 911</t>
  </si>
  <si>
    <t>$.25 per month per phone number</t>
  </si>
  <si>
    <t>Oklahoma</t>
  </si>
  <si>
    <t>Avg. of OK City (4.125%) &amp; Tulsa (4.017%)</t>
  </si>
  <si>
    <t>$.75 per month in OK City and Tulsa</t>
  </si>
  <si>
    <t>$1.14 per line per month</t>
  </si>
  <si>
    <t>Oregon</t>
  </si>
  <si>
    <t>Local utililty tax</t>
  </si>
  <si>
    <t>No tax on wireless in Portland or Salem</t>
  </si>
  <si>
    <t>$1.25 per month</t>
  </si>
  <si>
    <t>RSPF Surcharge</t>
  </si>
  <si>
    <t>$0.09 per month</t>
  </si>
  <si>
    <t>6% times FCC safe harbor</t>
  </si>
  <si>
    <t>Pennsylvania</t>
  </si>
  <si>
    <t>Philadephia 2%; Harrisburg 0%</t>
  </si>
  <si>
    <t>$1.65 per month</t>
  </si>
  <si>
    <t>Puerto Rico</t>
  </si>
  <si>
    <t>IVU (Sales Tax)</t>
  </si>
  <si>
    <t>$.50 per line per month for residential lines</t>
  </si>
  <si>
    <t>1.39% times FCC safe harbor</t>
  </si>
  <si>
    <t>Rhode Island</t>
  </si>
  <si>
    <t>Gross receipts tax</t>
  </si>
  <si>
    <t>911 and first responder fee</t>
  </si>
  <si>
    <t>South Carolina</t>
  </si>
  <si>
    <t>Avg. of Charleston (3%) and Columbia (2%)</t>
  </si>
  <si>
    <t>Municipal license tax</t>
  </si>
  <si>
    <t xml:space="preserve">Charleston (1.0%) and Columbia (1.0%) </t>
  </si>
  <si>
    <t>Dual party relay charge</t>
  </si>
  <si>
    <t>2.67% times FCC safe harbor</t>
  </si>
  <si>
    <t>$.62 / month</t>
  </si>
  <si>
    <t>South Dakota</t>
  </si>
  <si>
    <t>Access, interstate and  intrastate</t>
  </si>
  <si>
    <t>local option sales tax</t>
  </si>
  <si>
    <t>Avg. of Pierre (2.0%) and Sioux Falls (2.0%)</t>
  </si>
  <si>
    <t>911 excise</t>
  </si>
  <si>
    <t>$.15 per month by statute</t>
  </si>
  <si>
    <t>.15% of intrastate receipts</t>
  </si>
  <si>
    <t>Tennessee</t>
  </si>
  <si>
    <t xml:space="preserve">Statewide local rate for intrastate </t>
  </si>
  <si>
    <t xml:space="preserve">911 tax </t>
  </si>
  <si>
    <t xml:space="preserve">$1.50 per month </t>
  </si>
  <si>
    <t xml:space="preserve">Texas </t>
  </si>
  <si>
    <r>
      <rPr>
        <sz val="10"/>
        <color theme="1"/>
        <rFont val="Arial"/>
        <family val="2"/>
      </rPr>
      <t>Austin (2.0%</t>
    </r>
    <r>
      <rPr>
        <sz val="10"/>
        <rFont val="Arial"/>
        <family val="2"/>
      </rPr>
      <t>) &amp; Houston (2.0%)</t>
    </r>
  </si>
  <si>
    <t>Wireless 911 tax</t>
  </si>
  <si>
    <t>Texas USF</t>
  </si>
  <si>
    <t>3.3% times FCC safe harbor</t>
  </si>
  <si>
    <t>911 Equalization surcharge</t>
  </si>
  <si>
    <t>$.06 per line</t>
  </si>
  <si>
    <t>Utah</t>
  </si>
  <si>
    <t>Avg. of Salt Lake City (2.9%) and Provo (2.4%)</t>
  </si>
  <si>
    <t>Local utility wireless</t>
  </si>
  <si>
    <t>Levied at 3.5% max. in SLC and Provo</t>
  </si>
  <si>
    <t>State 911 service charges</t>
  </si>
  <si>
    <t>$.96 per line per month</t>
  </si>
  <si>
    <t>State Radio Network charge</t>
  </si>
  <si>
    <t>$.52 per line per month</t>
  </si>
  <si>
    <t>$0.36 per line per month</t>
  </si>
  <si>
    <t xml:space="preserve">Vermont </t>
  </si>
  <si>
    <t>Avg. of Montpelier (0%) and Burlington (1%)</t>
  </si>
  <si>
    <t>State 911/USF</t>
  </si>
  <si>
    <t>Funds 911 and other programs</t>
  </si>
  <si>
    <t>Virginia</t>
  </si>
  <si>
    <t>State communications sales tax</t>
  </si>
  <si>
    <t>$.82 per month</t>
  </si>
  <si>
    <t>Wireless 988</t>
  </si>
  <si>
    <t xml:space="preserve">$.12 per month </t>
  </si>
  <si>
    <t>Washington</t>
  </si>
  <si>
    <t>Olympia (2.9%) &amp; Seattle (3.75%) average</t>
  </si>
  <si>
    <t>B&amp;O / Utility Franchise -- local</t>
  </si>
  <si>
    <t>Olympia (9%) &amp; Seattle (6%) average</t>
  </si>
  <si>
    <t>911 -- state</t>
  </si>
  <si>
    <t>911 -- local</t>
  </si>
  <si>
    <t>$.70 per month</t>
  </si>
  <si>
    <t xml:space="preserve">988 fee -- state </t>
  </si>
  <si>
    <t>$.24 per month</t>
  </si>
  <si>
    <t>West Virginia</t>
  </si>
  <si>
    <t>No sales tax on wireless</t>
  </si>
  <si>
    <t>$3.47 per month</t>
  </si>
  <si>
    <t>Wireless public safety fee</t>
  </si>
  <si>
    <t>$0.29 per month</t>
  </si>
  <si>
    <t>Wireless tower fee</t>
  </si>
  <si>
    <t>$0.08 per month</t>
  </si>
  <si>
    <t>Wisconsin</t>
  </si>
  <si>
    <t>Access, intrastate and interstate</t>
  </si>
  <si>
    <t>Avg. of Milwaukee (0.5%) &amp; Madison (0.5%)</t>
  </si>
  <si>
    <t>Police and Fire Protection Fee</t>
  </si>
  <si>
    <t xml:space="preserve">$.75 per month </t>
  </si>
  <si>
    <t>0.449% times FCC safe harbor</t>
  </si>
  <si>
    <t>Wyoming</t>
  </si>
  <si>
    <t>Avg. of Cheyenne (2%) and Casper (1%)</t>
  </si>
  <si>
    <t>Up to $.25/month -- $.04 currently</t>
  </si>
  <si>
    <t>2.7% times FCC safe harbor</t>
  </si>
  <si>
    <t>$.75 per month in Cheyenne and Casper</t>
  </si>
  <si>
    <t>ARPU=</t>
  </si>
  <si>
    <t>FCC Safe Harbor =</t>
  </si>
  <si>
    <t>Sources:</t>
  </si>
  <si>
    <t>Methodology:  Committee on State Taxation, 50-State Study and Report on Telecommunications Taxation,</t>
  </si>
  <si>
    <t>May 2005.  Updated July 2022 by Scott Mackey, Leonine Public Affairs LLP, using state statutes and regulations.</t>
  </si>
  <si>
    <t>Average Monthly Revenue Per Unit (ARPU):  $35.74 per Cellular Telephone and Internet Association, July 2022.</t>
  </si>
  <si>
    <t xml:space="preserve"> TABLE 1: US Average Wireless and General Sales &amp; Use Tax Rates</t>
  </si>
  <si>
    <t>Weighted Average</t>
  </si>
  <si>
    <t>Wireless -state &amp; local tax &amp; fee</t>
  </si>
  <si>
    <t>Wireless - federal tax &amp; fee</t>
  </si>
  <si>
    <t>Wireless federal/state/local tax &amp; fee</t>
  </si>
  <si>
    <t>General Sales/Use Tax</t>
  </si>
  <si>
    <t>Wireless vs. General Sales Tax</t>
  </si>
  <si>
    <t xml:space="preserve">Source:  Methodology derived from Committee on State Taxation, "50-State Study and Report on </t>
  </si>
  <si>
    <t>Telecommunications Taxation,"  May 2005.  Updated July 2022 from state statutes, FCC data,</t>
  </si>
  <si>
    <t>and local ordinances by Scott Mackey, Leonine Public Affairs LLP, Montpelier, VT.</t>
  </si>
  <si>
    <t>Federal includes 3% federal excise tax (until 5/2006) and federal universal service fund charge, which is set by the FCC and varies quarterly:</t>
  </si>
  <si>
    <t>Federal USF 1/1/2003 -- 28.5% FCC "hold harmless" times 7.3% FCC contribution factor = 2.07%</t>
  </si>
  <si>
    <t>Federal USF 4/1/2004 -- 28.5% x 8.7% = 2.48%</t>
  </si>
  <si>
    <t>Federal USF 7/1/2005 -- 28.5% x 10.2% = 2.91%</t>
  </si>
  <si>
    <t>Federal USF 7/1/2006 -- 28.5% x 10.5% = 2.99%</t>
  </si>
  <si>
    <t xml:space="preserve">Federal USF 7/1/2007 -- 37.1% x 11.3% = 4.19%   </t>
  </si>
  <si>
    <t>Federal USF 7/1/2008 -- 37.1% x 11.4% = 4.23%</t>
  </si>
  <si>
    <t>Federal USF 7/1/2009 -- 37.1% x 12.9% = 4.79%</t>
  </si>
  <si>
    <t>Federal USF 7/1/2010 -- 37.1% x 13.6% = 5.05%</t>
  </si>
  <si>
    <t>Federal USF 7/1/2012 -- 37.1% x 15.7% = 5.82%</t>
  </si>
  <si>
    <t>Federal USF 7/1/2014 -- 37.1% x 15.7% = 5.82%</t>
  </si>
  <si>
    <t>Federal USF 7/1/2015 -- 37.1% x 17.4% = 6.46%</t>
  </si>
  <si>
    <t xml:space="preserve">Federal USF 7/1/2022 -- 37.1% Interstate safe harbor x 33.0% contribution factor = 12.24% effective tax rate </t>
  </si>
  <si>
    <t>https://www.fcc.gov/document/omd-announces-usf-3q-contribution-factor-33-percent</t>
  </si>
  <si>
    <t>Table 2.</t>
  </si>
  <si>
    <t>Taxes, Fees, and Government Charges on Wireless Service, July 2022</t>
  </si>
  <si>
    <t>State Rankings</t>
  </si>
  <si>
    <t>Wireless</t>
  </si>
  <si>
    <t xml:space="preserve">Federal </t>
  </si>
  <si>
    <t xml:space="preserve">Combined </t>
  </si>
  <si>
    <t>State-Local</t>
  </si>
  <si>
    <t>Federal/State/Local</t>
  </si>
  <si>
    <t>Rate</t>
  </si>
  <si>
    <t xml:space="preserve">Illinois </t>
  </si>
  <si>
    <t xml:space="preserve">Puerto Rico </t>
  </si>
  <si>
    <t>Texas</t>
  </si>
  <si>
    <t>Vermont</t>
  </si>
  <si>
    <t>Weighted Avg.</t>
  </si>
  <si>
    <t>Simple Avg.</t>
  </si>
  <si>
    <t xml:space="preserve">Source:  Methodology from COST, "50-State Study and Report on Telecommunications </t>
  </si>
  <si>
    <t xml:space="preserve">Taxation," May 2005.  Updated July 2022 using state statutes, FCC data, and local ordinances.  </t>
  </si>
  <si>
    <t>Table 3.</t>
  </si>
  <si>
    <t>Disparity Between Wireless Tax &amp; Fee Rate and General Sales Tax Rate, July 2022</t>
  </si>
  <si>
    <t xml:space="preserve">Wireless </t>
  </si>
  <si>
    <t>Sales</t>
  </si>
  <si>
    <t>Over / Under</t>
  </si>
  <si>
    <t xml:space="preserve">Disparity </t>
  </si>
  <si>
    <t>Tax</t>
  </si>
  <si>
    <t>Sales Tax</t>
  </si>
  <si>
    <t>Multiple</t>
  </si>
  <si>
    <t>NA</t>
  </si>
  <si>
    <t>Source:  Methodology from COST, "50-State Study and Report on Telecommunications Taxation,"</t>
  </si>
  <si>
    <t>May 2005.  Updated July 2022 using state statutes, FCC data, and local ordinances.</t>
  </si>
  <si>
    <t>Table 4.</t>
  </si>
  <si>
    <t>State Wireless Taxes by Type</t>
  </si>
  <si>
    <t>State Gross Receipts Tax</t>
  </si>
  <si>
    <t>Higher State Tax Rate</t>
  </si>
  <si>
    <t>Wireless Tax but</t>
  </si>
  <si>
    <t>in Addition to Sales Tax</t>
  </si>
  <si>
    <t>in Lieu of Sales Tax</t>
  </si>
  <si>
    <t>No State Sales Tax</t>
  </si>
  <si>
    <t xml:space="preserve">Rhode Island </t>
  </si>
  <si>
    <t>Table 5.</t>
  </si>
  <si>
    <t>Local Wireless Taxes by Type</t>
  </si>
  <si>
    <t xml:space="preserve">School District and Other </t>
  </si>
  <si>
    <t>Privilege, License or User Taxes</t>
  </si>
  <si>
    <t>State-Authorized Telecom Taxes</t>
  </si>
  <si>
    <t>Special District Taxes</t>
  </si>
  <si>
    <t>Note:  Excludes local general sales taxes.</t>
  </si>
  <si>
    <t>Table 6.</t>
  </si>
  <si>
    <t xml:space="preserve">State and Local Wireless Taxes and Fees on </t>
  </si>
  <si>
    <t>Tax on 4-line</t>
  </si>
  <si>
    <t>Voice Plan Costing</t>
  </si>
  <si>
    <t xml:space="preserve">Effective </t>
  </si>
  <si>
    <t>City</t>
  </si>
  <si>
    <t>Tax Rate</t>
  </si>
  <si>
    <t xml:space="preserve">Chicago, IL </t>
  </si>
  <si>
    <t>Baltimore, MD</t>
  </si>
  <si>
    <t>Omaha, NE</t>
  </si>
  <si>
    <t>Little Rock, AR</t>
  </si>
  <si>
    <t>Seattle, WA</t>
  </si>
  <si>
    <t>New York, NY</t>
  </si>
  <si>
    <t>Philadelphia, PA</t>
  </si>
  <si>
    <t>Salt Lake City, UT</t>
  </si>
  <si>
    <t>Providence, RI</t>
  </si>
  <si>
    <t>Tallahassee, FL</t>
  </si>
  <si>
    <t xml:space="preserve">Tax on Single Line </t>
  </si>
  <si>
    <t>As of July 1, 2022</t>
  </si>
  <si>
    <t>Monthly</t>
  </si>
  <si>
    <t xml:space="preserve">Estimated </t>
  </si>
  <si>
    <t>Current Report</t>
  </si>
  <si>
    <t>Estimated</t>
  </si>
  <si>
    <t>Methodology</t>
  </si>
  <si>
    <t>Tax Paid as</t>
  </si>
  <si>
    <t>Adjusted</t>
  </si>
  <si>
    <t>Tax Paid as %</t>
  </si>
  <si>
    <t>%  of Voice/</t>
  </si>
  <si>
    <t>State</t>
  </si>
  <si>
    <t xml:space="preserve">of Taxable </t>
  </si>
  <si>
    <t xml:space="preserve">Internet </t>
  </si>
  <si>
    <t>Statutory</t>
  </si>
  <si>
    <t>Rank</t>
  </si>
  <si>
    <t>Tax Paid</t>
  </si>
  <si>
    <t>Service</t>
  </si>
  <si>
    <t>Bundle</t>
  </si>
  <si>
    <r>
      <t>.</t>
    </r>
    <r>
      <rPr>
        <sz val="10"/>
        <color theme="1"/>
        <rFont val="MS sans serif"/>
        <family val="2"/>
      </rPr>
      <t>Illinois</t>
    </r>
  </si>
  <si>
    <r>
      <t>.</t>
    </r>
    <r>
      <rPr>
        <sz val="10"/>
        <color theme="1"/>
        <rFont val="MS sans serif"/>
        <family val="2"/>
      </rPr>
      <t>Nebraska</t>
    </r>
  </si>
  <si>
    <r>
      <t>.</t>
    </r>
    <r>
      <rPr>
        <sz val="10"/>
        <color theme="1"/>
        <rFont val="MS sans serif"/>
        <family val="2"/>
      </rPr>
      <t>Maryland</t>
    </r>
  </si>
  <si>
    <r>
      <t>.</t>
    </r>
    <r>
      <rPr>
        <sz val="10"/>
        <color theme="1"/>
        <rFont val="MS sans serif"/>
        <family val="2"/>
      </rPr>
      <t>Arkansas</t>
    </r>
  </si>
  <si>
    <r>
      <t>.</t>
    </r>
    <r>
      <rPr>
        <sz val="10"/>
        <color theme="1"/>
        <rFont val="MS sans serif"/>
        <family val="2"/>
      </rPr>
      <t>New York</t>
    </r>
  </si>
  <si>
    <r>
      <t>.</t>
    </r>
    <r>
      <rPr>
        <sz val="10"/>
        <color theme="1"/>
        <rFont val="MS sans serif"/>
        <family val="2"/>
      </rPr>
      <t>Washington</t>
    </r>
  </si>
  <si>
    <r>
      <t>.</t>
    </r>
    <r>
      <rPr>
        <sz val="10"/>
        <color theme="1"/>
        <rFont val="MS sans serif"/>
        <family val="2"/>
      </rPr>
      <t>West Virginia</t>
    </r>
  </si>
  <si>
    <r>
      <t>.</t>
    </r>
    <r>
      <rPr>
        <sz val="10"/>
        <color theme="1"/>
        <rFont val="MS sans serif"/>
        <family val="2"/>
      </rPr>
      <t>Pennsylvania</t>
    </r>
  </si>
  <si>
    <r>
      <t>.</t>
    </r>
    <r>
      <rPr>
        <sz val="10"/>
        <color theme="1"/>
        <rFont val="MS sans serif"/>
        <family val="2"/>
      </rPr>
      <t>Utah</t>
    </r>
  </si>
  <si>
    <r>
      <t>.</t>
    </r>
    <r>
      <rPr>
        <sz val="10"/>
        <color theme="1"/>
        <rFont val="MS sans serif"/>
        <family val="2"/>
      </rPr>
      <t>North Dakota</t>
    </r>
  </si>
  <si>
    <r>
      <t>.</t>
    </r>
    <r>
      <rPr>
        <sz val="10"/>
        <color theme="1"/>
        <rFont val="MS sans serif"/>
        <family val="2"/>
      </rPr>
      <t>Kansas</t>
    </r>
  </si>
  <si>
    <r>
      <t>.</t>
    </r>
    <r>
      <rPr>
        <sz val="10"/>
        <color theme="1"/>
        <rFont val="MS sans serif"/>
        <family val="2"/>
      </rPr>
      <t>Alaska</t>
    </r>
  </si>
  <si>
    <r>
      <t>.</t>
    </r>
    <r>
      <rPr>
        <sz val="10"/>
        <color theme="1"/>
        <rFont val="MS sans serif"/>
        <family val="2"/>
      </rPr>
      <t>Rhode Island</t>
    </r>
  </si>
  <si>
    <r>
      <t>.</t>
    </r>
    <r>
      <rPr>
        <sz val="10"/>
        <color theme="1"/>
        <rFont val="MS sans serif"/>
        <family val="2"/>
      </rPr>
      <t>South Dakota</t>
    </r>
  </si>
  <si>
    <r>
      <t>.</t>
    </r>
    <r>
      <rPr>
        <sz val="10"/>
        <color theme="1"/>
        <rFont val="MS sans serif"/>
        <family val="2"/>
      </rPr>
      <t>Tennessee</t>
    </r>
  </si>
  <si>
    <r>
      <t>.</t>
    </r>
    <r>
      <rPr>
        <sz val="10"/>
        <color theme="1"/>
        <rFont val="MS sans serif"/>
        <family val="2"/>
      </rPr>
      <t>New Mexico</t>
    </r>
  </si>
  <si>
    <r>
      <t>.</t>
    </r>
    <r>
      <rPr>
        <sz val="10"/>
        <color theme="1"/>
        <rFont val="MS sans serif"/>
        <family val="2"/>
      </rPr>
      <t>Louisiana</t>
    </r>
  </si>
  <si>
    <r>
      <t>.</t>
    </r>
    <r>
      <rPr>
        <sz val="10"/>
        <color theme="1"/>
        <rFont val="MS sans serif"/>
        <family val="2"/>
      </rPr>
      <t>Georgia</t>
    </r>
  </si>
  <si>
    <r>
      <t>.</t>
    </r>
    <r>
      <rPr>
        <sz val="10"/>
        <color theme="1"/>
        <rFont val="MS sans serif"/>
        <family val="2"/>
      </rPr>
      <t>Colorado</t>
    </r>
  </si>
  <si>
    <r>
      <t>.</t>
    </r>
    <r>
      <rPr>
        <sz val="10"/>
        <color theme="1"/>
        <rFont val="MS sans serif"/>
        <family val="2"/>
      </rPr>
      <t>Oklahoma</t>
    </r>
  </si>
  <si>
    <r>
      <t>.</t>
    </r>
    <r>
      <rPr>
        <sz val="10"/>
        <color theme="1"/>
        <rFont val="MS sans serif"/>
        <family val="2"/>
      </rPr>
      <t>Alabama</t>
    </r>
  </si>
  <si>
    <r>
      <t>.</t>
    </r>
    <r>
      <rPr>
        <sz val="10"/>
        <color theme="1"/>
        <rFont val="MS sans serif"/>
        <family val="2"/>
      </rPr>
      <t>Florida</t>
    </r>
  </si>
  <si>
    <r>
      <t>.</t>
    </r>
    <r>
      <rPr>
        <sz val="10"/>
        <color theme="1"/>
        <rFont val="MS sans serif"/>
        <family val="2"/>
      </rPr>
      <t>Indiana</t>
    </r>
  </si>
  <si>
    <t xml:space="preserve"> Puerto Rico</t>
  </si>
  <si>
    <r>
      <t>.</t>
    </r>
    <r>
      <rPr>
        <sz val="10"/>
        <color theme="1"/>
        <rFont val="MS sans serif"/>
        <family val="2"/>
      </rPr>
      <t>California</t>
    </r>
  </si>
  <si>
    <r>
      <t>.</t>
    </r>
    <r>
      <rPr>
        <sz val="10"/>
        <color theme="1"/>
        <rFont val="MS sans serif"/>
        <family val="2"/>
      </rPr>
      <t>Missouri</t>
    </r>
  </si>
  <si>
    <r>
      <t>.</t>
    </r>
    <r>
      <rPr>
        <sz val="10"/>
        <color theme="1"/>
        <rFont val="MS sans serif"/>
        <family val="2"/>
      </rPr>
      <t>Massachusetts</t>
    </r>
  </si>
  <si>
    <r>
      <t>.</t>
    </r>
    <r>
      <rPr>
        <sz val="10"/>
        <color theme="1"/>
        <rFont val="MS sans serif"/>
        <family val="2"/>
      </rPr>
      <t>South Carolina</t>
    </r>
  </si>
  <si>
    <r>
      <t>.</t>
    </r>
    <r>
      <rPr>
        <sz val="10"/>
        <color theme="1"/>
        <rFont val="MS sans serif"/>
        <family val="2"/>
      </rPr>
      <t>Michigan</t>
    </r>
  </si>
  <si>
    <r>
      <t>.</t>
    </r>
    <r>
      <rPr>
        <sz val="10"/>
        <color theme="1"/>
        <rFont val="MS sans serif"/>
        <family val="2"/>
      </rPr>
      <t>District of Columbia</t>
    </r>
  </si>
  <si>
    <r>
      <t>.</t>
    </r>
    <r>
      <rPr>
        <sz val="10"/>
        <color theme="1"/>
        <rFont val="MS sans serif"/>
        <family val="2"/>
      </rPr>
      <t>Kentucky</t>
    </r>
  </si>
  <si>
    <r>
      <t>.</t>
    </r>
    <r>
      <rPr>
        <sz val="10"/>
        <color theme="1"/>
        <rFont val="MS sans serif"/>
        <family val="2"/>
      </rPr>
      <t>Minnesota</t>
    </r>
  </si>
  <si>
    <r>
      <t>.</t>
    </r>
    <r>
      <rPr>
        <sz val="10"/>
        <color theme="1"/>
        <rFont val="MS sans serif"/>
        <family val="2"/>
      </rPr>
      <t>Texas</t>
    </r>
  </si>
  <si>
    <r>
      <t>.</t>
    </r>
    <r>
      <rPr>
        <sz val="10"/>
        <color theme="1"/>
        <rFont val="MS sans serif"/>
        <family val="2"/>
      </rPr>
      <t>Arizona</t>
    </r>
  </si>
  <si>
    <r>
      <t>.</t>
    </r>
    <r>
      <rPr>
        <sz val="10"/>
        <color theme="1"/>
        <rFont val="MS sans serif"/>
        <family val="2"/>
      </rPr>
      <t>Mississippi</t>
    </r>
  </si>
  <si>
    <r>
      <t>.</t>
    </r>
    <r>
      <rPr>
        <sz val="10"/>
        <color theme="1"/>
        <rFont val="MS sans serif"/>
        <family val="2"/>
      </rPr>
      <t>Iowa</t>
    </r>
  </si>
  <si>
    <r>
      <t>.</t>
    </r>
    <r>
      <rPr>
        <sz val="10"/>
        <color theme="1"/>
        <rFont val="MS sans serif"/>
        <family val="2"/>
      </rPr>
      <t>New Jersey</t>
    </r>
  </si>
  <si>
    <r>
      <t>.</t>
    </r>
    <r>
      <rPr>
        <sz val="10"/>
        <color theme="1"/>
        <rFont val="MS sans serif"/>
        <family val="2"/>
      </rPr>
      <t>Maine</t>
    </r>
  </si>
  <si>
    <r>
      <t>.</t>
    </r>
    <r>
      <rPr>
        <sz val="10"/>
        <color theme="1"/>
        <rFont val="MS sans serif"/>
        <family val="2"/>
      </rPr>
      <t>Oregon</t>
    </r>
  </si>
  <si>
    <r>
      <t>.</t>
    </r>
    <r>
      <rPr>
        <sz val="10"/>
        <color theme="1"/>
        <rFont val="MS sans serif"/>
        <family val="2"/>
      </rPr>
      <t>Wyoming</t>
    </r>
  </si>
  <si>
    <r>
      <t>.</t>
    </r>
    <r>
      <rPr>
        <sz val="10"/>
        <color theme="1"/>
        <rFont val="MS sans serif"/>
        <family val="2"/>
      </rPr>
      <t>New Hampshire</t>
    </r>
  </si>
  <si>
    <r>
      <t>.</t>
    </r>
    <r>
      <rPr>
        <sz val="10"/>
        <color theme="1"/>
        <rFont val="MS sans serif"/>
        <family val="2"/>
      </rPr>
      <t>North Carolina</t>
    </r>
  </si>
  <si>
    <r>
      <t>.</t>
    </r>
    <r>
      <rPr>
        <sz val="10"/>
        <color theme="1"/>
        <rFont val="MS sans serif"/>
        <family val="2"/>
      </rPr>
      <t>Virginia</t>
    </r>
  </si>
  <si>
    <r>
      <t>.</t>
    </r>
    <r>
      <rPr>
        <sz val="10"/>
        <color theme="1"/>
        <rFont val="MS sans serif"/>
        <family val="2"/>
      </rPr>
      <t>Connecticut</t>
    </r>
  </si>
  <si>
    <r>
      <t>.</t>
    </r>
    <r>
      <rPr>
        <sz val="10"/>
        <color theme="1"/>
        <rFont val="MS sans serif"/>
        <family val="2"/>
      </rPr>
      <t>Montana</t>
    </r>
  </si>
  <si>
    <r>
      <t>.</t>
    </r>
    <r>
      <rPr>
        <sz val="10"/>
        <color theme="1"/>
        <rFont val="MS sans serif"/>
        <family val="2"/>
      </rPr>
      <t>Wisconsin</t>
    </r>
  </si>
  <si>
    <r>
      <t>.</t>
    </r>
    <r>
      <rPr>
        <sz val="10"/>
        <color theme="1"/>
        <rFont val="MS sans serif"/>
        <family val="2"/>
      </rPr>
      <t>Hawaii</t>
    </r>
  </si>
  <si>
    <r>
      <t>.</t>
    </r>
    <r>
      <rPr>
        <sz val="10"/>
        <color theme="1"/>
        <rFont val="MS sans serif"/>
        <family val="2"/>
      </rPr>
      <t>Ohio</t>
    </r>
  </si>
  <si>
    <r>
      <t>.</t>
    </r>
    <r>
      <rPr>
        <sz val="10"/>
        <color theme="1"/>
        <rFont val="MS sans serif"/>
        <family val="2"/>
      </rPr>
      <t>Vermont</t>
    </r>
  </si>
  <si>
    <r>
      <t>.</t>
    </r>
    <r>
      <rPr>
        <sz val="10"/>
        <color theme="1"/>
        <rFont val="MS sans serif"/>
        <family val="2"/>
      </rPr>
      <t>Delaware</t>
    </r>
  </si>
  <si>
    <r>
      <t>.</t>
    </r>
    <r>
      <rPr>
        <sz val="10"/>
        <color theme="1"/>
        <rFont val="MS sans serif"/>
        <family val="2"/>
      </rPr>
      <t>Nevada</t>
    </r>
  </si>
  <si>
    <r>
      <t>.</t>
    </r>
    <r>
      <rPr>
        <sz val="10"/>
        <color theme="1"/>
        <rFont val="MS sans serif"/>
        <family val="2"/>
      </rPr>
      <t>Idaho</t>
    </r>
  </si>
  <si>
    <t>Average Monthly Revenue Estimates Used in Calculations</t>
  </si>
  <si>
    <t>$</t>
  </si>
  <si>
    <t>Percent</t>
  </si>
  <si>
    <t>Monthly Service Revenue (taxable &amp; non-taxable)</t>
  </si>
  <si>
    <t>Monthly Wireless Telecom Revenue (taxable)*</t>
  </si>
  <si>
    <t>Monthly Internet Access Revenue (not taxable)*</t>
  </si>
  <si>
    <t xml:space="preserve">*Source:  CTIA estimated wireless monthly service revenues; </t>
  </si>
  <si>
    <t xml:space="preserve">Internet Access service percentage of wireless service revenues from </t>
  </si>
  <si>
    <t>US Census Bureau survey, see https://www.census.gov/services/qss/qss-current.pdf</t>
  </si>
  <si>
    <t>Excludes equipment sales and repair revenues.</t>
  </si>
  <si>
    <t>Table B1</t>
  </si>
  <si>
    <t>State Universal Service Fund Rates on Wireless Service</t>
  </si>
  <si>
    <t>Effective Rate</t>
  </si>
  <si>
    <t xml:space="preserve">Calculation </t>
  </si>
  <si>
    <t xml:space="preserve">Alaska </t>
  </si>
  <si>
    <t>10.0% times FCC Intrastate safe harbor</t>
  </si>
  <si>
    <t>8.36% times FCC Intrastate safe harbor</t>
  </si>
  <si>
    <t>Carrier rates assigned by Public Service Commission</t>
  </si>
  <si>
    <t xml:space="preserve">Utah </t>
  </si>
  <si>
    <t>$0.05 per month per line</t>
  </si>
  <si>
    <t xml:space="preserve">Source:  Author's calculation from state statutes and state utility commisions. </t>
  </si>
  <si>
    <t xml:space="preserve"> </t>
  </si>
  <si>
    <t>Single- and Multi-Line Plans in Selected Cities, July 2022</t>
  </si>
  <si>
    <t>per Month</t>
  </si>
  <si>
    <t>U.S. Weighted Average</t>
  </si>
  <si>
    <t xml:space="preserve">Table 7:  Taxes/Fees  on Single-Line Wireless Plan </t>
  </si>
  <si>
    <t>11.44% times FCC safe harbor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</si>
</sst>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%"/>
    <numFmt numFmtId="165" formatCode="0.0000%"/>
    <numFmt numFmtId="166" formatCode="0.00000000000000%"/>
    <numFmt numFmtId="167" formatCode="0.000000000000000%"/>
    <numFmt numFmtId="168" formatCode="0.0%"/>
    <numFmt numFmtId="169" formatCode="0.0000"/>
    <numFmt numFmtId="170" formatCode="_(* #,##0_);_(* \(#,##0\);_(* &quot;-&quot;??_);_(@_)"/>
    <numFmt numFmtId="171" formatCode="_(&quot;$&quot;* #,##0_);_(&quot;$&quot;* \(#,##0\);_(&quot;$&quot;* &quot;-&quot;??_);_(@_)"/>
    <numFmt numFmtId="172" formatCode="_(&quot;$&quot;* #,##0_);_(&quot;$&quot;* \(#,##0\);_(&quot;$&quot;* &quot;-&quot;?_);_(@_)"/>
    <numFmt numFmtId="173" formatCode="0.00000%"/>
    <numFmt numFmtId="174" formatCode="0.0000000000%"/>
    <numFmt numFmtId="175" formatCode="&quot;$&quot;#,##0.00;[Red]\-&quot;$&quot;#,##0.00"/>
    <numFmt numFmtId="176" formatCode="0.00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rgb="FFFF0000"/>
      <name val="Calibri (Body)"/>
    </font>
    <font>
      <sz val="10"/>
      <color theme="1"/>
      <name val="Arial"/>
      <family val="2"/>
    </font>
    <font>
      <sz val="11"/>
      <color theme="1"/>
      <name val="Calibri (Body)"/>
    </font>
    <font>
      <sz val="10"/>
      <color theme="1"/>
      <name val="ArialMT"/>
    </font>
    <font>
      <sz val="11"/>
      <color rgb="FF212121"/>
      <name val="Calibri"/>
      <family val="2"/>
      <scheme val="minor"/>
    </font>
    <font>
      <sz val="11"/>
      <name val="Calibri"/>
      <family val="2"/>
      <scheme val="minor"/>
    </font>
    <font>
      <sz val="14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9"/>
      <name val="MS sans serif"/>
      <family val="2"/>
    </font>
    <font>
      <sz val="10"/>
      <color theme="1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/>
    <xf numFmtId="10" fontId="0" fillId="0" borderId="0" xfId="3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10" fontId="6" fillId="0" borderId="0" xfId="3" applyNumberFormat="1" applyFont="1" applyFill="1" applyAlignment="1">
      <alignment horizontal="center"/>
    </xf>
    <xf numFmtId="0" fontId="6" fillId="0" borderId="0" xfId="0" applyFont="1" applyAlignment="1">
      <alignment horizontal="left"/>
    </xf>
    <xf numFmtId="10" fontId="7" fillId="0" borderId="0" xfId="3" applyNumberFormat="1" applyFont="1" applyFill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10" fontId="10" fillId="0" borderId="0" xfId="3" applyNumberFormat="1" applyFont="1" applyFill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10" fontId="0" fillId="0" borderId="0" xfId="0" applyNumberFormat="1"/>
    <xf numFmtId="165" fontId="0" fillId="0" borderId="0" xfId="0" applyNumberFormat="1"/>
    <xf numFmtId="8" fontId="0" fillId="0" borderId="0" xfId="0" applyNumberFormat="1" applyAlignment="1">
      <alignment horizontal="left"/>
    </xf>
    <xf numFmtId="166" fontId="0" fillId="0" borderId="0" xfId="0" applyNumberFormat="1"/>
    <xf numFmtId="167" fontId="0" fillId="0" borderId="0" xfId="0" applyNumberFormat="1"/>
    <xf numFmtId="10" fontId="0" fillId="0" borderId="0" xfId="3" applyNumberFormat="1" applyFont="1" applyFill="1"/>
    <xf numFmtId="0" fontId="2" fillId="0" borderId="0" xfId="0" applyFont="1"/>
    <xf numFmtId="44" fontId="0" fillId="0" borderId="0" xfId="0" applyNumberFormat="1"/>
    <xf numFmtId="168" fontId="0" fillId="0" borderId="0" xfId="3" applyNumberFormat="1" applyFont="1" applyFill="1"/>
    <xf numFmtId="169" fontId="0" fillId="0" borderId="0" xfId="0" applyNumberFormat="1"/>
    <xf numFmtId="0" fontId="10" fillId="0" borderId="0" xfId="0" applyFont="1"/>
    <xf numFmtId="170" fontId="0" fillId="0" borderId="0" xfId="1" applyNumberFormat="1" applyFont="1" applyFill="1"/>
    <xf numFmtId="9" fontId="0" fillId="0" borderId="0" xfId="0" applyNumberFormat="1"/>
    <xf numFmtId="44" fontId="0" fillId="0" borderId="0" xfId="2" applyFont="1" applyFill="1"/>
    <xf numFmtId="171" fontId="0" fillId="0" borderId="0" xfId="2" applyNumberFormat="1" applyFont="1" applyFill="1"/>
    <xf numFmtId="171" fontId="0" fillId="0" borderId="0" xfId="0" applyNumberFormat="1"/>
    <xf numFmtId="170" fontId="0" fillId="0" borderId="0" xfId="0" applyNumberFormat="1"/>
    <xf numFmtId="172" fontId="0" fillId="0" borderId="0" xfId="0" applyNumberFormat="1"/>
    <xf numFmtId="2" fontId="0" fillId="0" borderId="0" xfId="0" applyNumberFormat="1"/>
    <xf numFmtId="173" fontId="0" fillId="0" borderId="0" xfId="0" applyNumberFormat="1"/>
    <xf numFmtId="0" fontId="7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horizontal="center"/>
    </xf>
    <xf numFmtId="174" fontId="0" fillId="0" borderId="0" xfId="0" applyNumberFormat="1"/>
    <xf numFmtId="0" fontId="12" fillId="0" borderId="0" xfId="0" applyFont="1"/>
    <xf numFmtId="0" fontId="13" fillId="0" borderId="0" xfId="0" applyFont="1"/>
    <xf numFmtId="175" fontId="0" fillId="0" borderId="0" xfId="0" applyNumberFormat="1"/>
    <xf numFmtId="10" fontId="3" fillId="0" borderId="0" xfId="3" applyNumberFormat="1" applyFont="1" applyFill="1" applyAlignment="1">
      <alignment horizontal="center"/>
    </xf>
    <xf numFmtId="10" fontId="0" fillId="0" borderId="0" xfId="0" applyNumberFormat="1" applyAlignment="1">
      <alignment horizontal="left"/>
    </xf>
    <xf numFmtId="176" fontId="0" fillId="0" borderId="0" xfId="0" applyNumberFormat="1"/>
    <xf numFmtId="44" fontId="6" fillId="0" borderId="0" xfId="0" applyNumberFormat="1" applyFont="1"/>
    <xf numFmtId="168" fontId="6" fillId="0" borderId="0" xfId="3" applyNumberFormat="1" applyFont="1" applyFill="1"/>
    <xf numFmtId="0" fontId="14" fillId="0" borderId="0" xfId="0" applyFont="1"/>
    <xf numFmtId="0" fontId="16" fillId="0" borderId="0" xfId="0" applyFont="1"/>
    <xf numFmtId="14" fontId="16" fillId="0" borderId="0" xfId="0" applyNumberFormat="1" applyFont="1"/>
    <xf numFmtId="0" fontId="4" fillId="0" borderId="0" xfId="0" applyFont="1"/>
    <xf numFmtId="10" fontId="16" fillId="0" borderId="0" xfId="0" applyNumberFormat="1" applyFont="1"/>
    <xf numFmtId="10" fontId="16" fillId="0" borderId="0" xfId="0" applyNumberFormat="1" applyFont="1" applyAlignment="1">
      <alignment horizontal="right"/>
    </xf>
    <xf numFmtId="168" fontId="0" fillId="0" borderId="0" xfId="3" applyNumberFormat="1" applyFont="1"/>
    <xf numFmtId="0" fontId="17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center"/>
    </xf>
    <xf numFmtId="0" fontId="19" fillId="2" borderId="0" xfId="0" applyFont="1" applyFill="1" applyAlignment="1">
      <alignment horizontal="left" vertical="top" wrapText="1"/>
    </xf>
    <xf numFmtId="10" fontId="7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0" fontId="19" fillId="0" borderId="0" xfId="0" applyFont="1" applyAlignment="1">
      <alignment horizontal="left" vertical="top" wrapText="1"/>
    </xf>
    <xf numFmtId="0" fontId="20" fillId="2" borderId="0" xfId="0" applyFont="1" applyFill="1" applyAlignment="1">
      <alignment horizontal="left" vertical="top" wrapText="1"/>
    </xf>
    <xf numFmtId="10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20" fillId="0" borderId="0" xfId="0" applyFont="1" applyAlignment="1">
      <alignment horizontal="left" vertical="top" wrapText="1"/>
    </xf>
    <xf numFmtId="2" fontId="3" fillId="0" borderId="0" xfId="0" applyNumberFormat="1" applyFont="1" applyAlignment="1">
      <alignment horizontal="center"/>
    </xf>
    <xf numFmtId="0" fontId="21" fillId="0" borderId="0" xfId="0" applyFont="1"/>
    <xf numFmtId="6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8" fontId="0" fillId="0" borderId="0" xfId="0" applyNumberFormat="1"/>
    <xf numFmtId="44" fontId="0" fillId="0" borderId="0" xfId="2" applyFont="1"/>
    <xf numFmtId="6" fontId="0" fillId="0" borderId="0" xfId="0" applyNumberFormat="1"/>
    <xf numFmtId="10" fontId="0" fillId="0" borderId="0" xfId="3" applyNumberFormat="1" applyFont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23" fillId="0" borderId="1" xfId="0" applyFont="1" applyBorder="1" applyProtection="1">
      <protection locked="0"/>
    </xf>
    <xf numFmtId="0" fontId="24" fillId="0" borderId="1" xfId="0" applyFont="1" applyBorder="1" applyProtection="1">
      <protection locked="0"/>
    </xf>
    <xf numFmtId="44" fontId="0" fillId="0" borderId="0" xfId="0" applyNumberFormat="1" applyAlignment="1">
      <alignment horizontal="center"/>
    </xf>
    <xf numFmtId="44" fontId="0" fillId="0" borderId="0" xfId="2" applyFon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3" applyNumberFormat="1" applyFont="1"/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17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KS&amp;E-CLIENTS\telco%20project\tax%20rate%20study\2020%20study\2020%20Tax%20Report%20tables%20for%20tax%20foundation%20study%20working%20draf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ott/AppData/Local/Microsoft/Windows/Temporary%20Internet%20Files/Content.Outlook/A398KG7Q/wireless%20tax%20rates%20July%201%202006%20update%20workin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ott/AppData/Local/Microsoft/Windows/Temporary%20Internet%20Files/Content.Outlook/A398KG7Q/July%202012%20taxes%20and%20fees%20report%20tables%201%20to%2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KS&amp;E-CLIENTS\telco%20project\tax%20rate%20study\2022%20Report\2022%20Tax%20Report%20tables%20for%20tax%20foundation%20study%20working%208%208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C Clean"/>
      <sheetName val="TABLE 1"/>
      <sheetName val="TABLE 2"/>
      <sheetName val="Table 3"/>
      <sheetName val="TABLE 4"/>
      <sheetName val="TABLE 5"/>
      <sheetName val="TABLE 6"/>
      <sheetName val="Table B1"/>
      <sheetName val="FIG B1 data ARPU vs tax"/>
      <sheetName val=" APPENDIX C with notes"/>
      <sheetName val="WGHT calcs --not for publicatio"/>
      <sheetName val="Tax Calc not for pub"/>
      <sheetName val="FUSF data not for p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0">
          <cell r="C60">
            <v>7.7460801386271427E-2</v>
          </cell>
          <cell r="E60">
            <v>0.12818055477702545</v>
          </cell>
        </row>
      </sheetData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L2 wrls v GB"/>
      <sheetName val="TBL3 06 vs 04"/>
      <sheetName val="Comparison worksheet"/>
      <sheetName val="Multiyear source data"/>
      <sheetName val="Aggregated wireless vs GB"/>
      <sheetName val="TBL 1 ranked"/>
      <sheetName val="Alpha by state"/>
      <sheetName val="Weighting calculations"/>
      <sheetName val="50 state detail"/>
      <sheetName val="Population data"/>
    </sheetNames>
    <sheetDataSet>
      <sheetData sheetId="0" refreshError="1"/>
      <sheetData sheetId="1" refreshError="1"/>
      <sheetData sheetId="2" refreshError="1"/>
      <sheetData sheetId="3" refreshError="1">
        <row r="6">
          <cell r="B6">
            <v>7.4005602240896362E-2</v>
          </cell>
        </row>
        <row r="58">
          <cell r="P58">
            <v>7.0426640156244308E-2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raw data worksheet"/>
      <sheetName val="USF "/>
      <sheetName val="911 Fe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7">
          <cell r="M57">
            <v>7.3301571974767304E-2</v>
          </cell>
        </row>
      </sheetData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C Clean"/>
      <sheetName val="TABLE 1"/>
      <sheetName val="TABLE 2"/>
      <sheetName val="Table 3"/>
      <sheetName val="TABLE 4"/>
      <sheetName val="TABLE 5"/>
      <sheetName val="TABLE 6"/>
      <sheetName val="Table 7"/>
      <sheetName val="Table B1"/>
      <sheetName val="FIG B1 data ARPU vs tax"/>
      <sheetName val=" APPENDIX C with notes"/>
      <sheetName val="Meth comp"/>
      <sheetName val="WGHT calcs --not for publicatio"/>
      <sheetName val="Tax Calc not for pub"/>
      <sheetName val="FUSF data not for pub"/>
    </sheetNames>
    <sheetDataSet>
      <sheetData sheetId="0" refreshError="1"/>
      <sheetData sheetId="1" refreshError="1">
        <row r="8">
          <cell r="S8">
            <v>0.12243000000000001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4">
          <cell r="C14">
            <v>6.2899999999999998E-2</v>
          </cell>
        </row>
        <row r="28">
          <cell r="C28">
            <v>7.0762500000000006E-2</v>
          </cell>
          <cell r="D28" t="str">
            <v>11.25% times FCC safe harbor</v>
          </cell>
        </row>
        <row r="37">
          <cell r="C37">
            <v>2.9877500000000001E-2</v>
          </cell>
        </row>
        <row r="38">
          <cell r="C38">
            <v>6.9819000000000001E-3</v>
          </cell>
        </row>
        <row r="39">
          <cell r="C39">
            <v>4.4029999999999998E-3</v>
          </cell>
        </row>
        <row r="40">
          <cell r="C40">
            <v>4.9062000000000003E-3</v>
          </cell>
        </row>
        <row r="41">
          <cell r="C41">
            <v>6.4095099999999993E-3</v>
          </cell>
        </row>
        <row r="49">
          <cell r="C49">
            <v>1.6354E-2</v>
          </cell>
          <cell r="D49" t="str">
            <v>2.6% times FCC safe harbor</v>
          </cell>
        </row>
        <row r="105">
          <cell r="C105">
            <v>1.42154E-2</v>
          </cell>
          <cell r="D105" t="str">
            <v>2.3% times FCC safe harbor</v>
          </cell>
        </row>
        <row r="120">
          <cell r="C120">
            <v>7.1957599999999997E-2</v>
          </cell>
        </row>
        <row r="127">
          <cell r="C127">
            <v>4.1969781757134859E-3</v>
          </cell>
          <cell r="D127" t="str">
            <v>$.15 per month</v>
          </cell>
        </row>
        <row r="136">
          <cell r="C136">
            <v>3.609401231113598E-2</v>
          </cell>
        </row>
        <row r="143">
          <cell r="C143">
            <v>1.2311135982092892E-2</v>
          </cell>
          <cell r="D143" t="str">
            <v>$0.44 per line</v>
          </cell>
        </row>
        <row r="153">
          <cell r="C153">
            <v>1.3989927252378287E-3</v>
          </cell>
        </row>
        <row r="196">
          <cell r="C196">
            <v>4.8964745383324002E-2</v>
          </cell>
          <cell r="D196" t="str">
            <v>$1.75 per line per month</v>
          </cell>
        </row>
        <row r="205">
          <cell r="C205">
            <v>3.5853E-3</v>
          </cell>
          <cell r="D205" t="str">
            <v>0.57% times FCC Safe Harbor</v>
          </cell>
        </row>
        <row r="223">
          <cell r="C223">
            <v>2.6580861779518745E-2</v>
          </cell>
          <cell r="D223" t="str">
            <v>$0.95 per line per month</v>
          </cell>
        </row>
        <row r="265">
          <cell r="C265">
            <v>3.189703413542249E-2</v>
          </cell>
          <cell r="D265" t="str">
            <v>$1.14 per line per month</v>
          </cell>
        </row>
        <row r="272">
          <cell r="C272">
            <v>3.7739999999999996E-2</v>
          </cell>
        </row>
        <row r="285">
          <cell r="C285">
            <v>8.7431000000000002E-3</v>
          </cell>
          <cell r="D285" t="str">
            <v>1.39% times FCC safe harbor</v>
          </cell>
        </row>
        <row r="299">
          <cell r="C299">
            <v>1.6794299999999998E-2</v>
          </cell>
          <cell r="D299" t="str">
            <v>2.67% times FCC safe harbor</v>
          </cell>
        </row>
        <row r="322">
          <cell r="C322">
            <v>2.0757000000000001E-2</v>
          </cell>
          <cell r="D322" t="str">
            <v>3.3% times FCC safe harbor</v>
          </cell>
        </row>
        <row r="332">
          <cell r="C332">
            <v>1.0072747621712366E-2</v>
          </cell>
          <cell r="D332" t="str">
            <v>$0.36 per line per month</v>
          </cell>
        </row>
        <row r="338">
          <cell r="C338">
            <v>2.4E-2</v>
          </cell>
          <cell r="D338" t="str">
            <v>Funds 911 and other programs</v>
          </cell>
        </row>
        <row r="368">
          <cell r="C368">
            <v>2.8225745999999998E-3</v>
          </cell>
          <cell r="D368" t="str">
            <v>0.449% times FCC safe harbor</v>
          </cell>
        </row>
        <row r="375">
          <cell r="C375">
            <v>1.6983000000000002E-2</v>
          </cell>
          <cell r="D375" t="str">
            <v>2.7% times FCC safe harbor</v>
          </cell>
        </row>
      </sheetData>
      <sheetData sheetId="11" refreshError="1"/>
      <sheetData sheetId="12" refreshError="1">
        <row r="6">
          <cell r="C6">
            <v>9.6250000000000002E-2</v>
          </cell>
          <cell r="E6">
            <v>0.11204252937884723</v>
          </cell>
        </row>
        <row r="7">
          <cell r="C7">
            <v>2.5000000000000001E-2</v>
          </cell>
          <cell r="E7">
            <v>0.14274051482932287</v>
          </cell>
        </row>
        <row r="8">
          <cell r="C8">
            <v>8.6499999999999994E-2</v>
          </cell>
          <cell r="E8">
            <v>0.12659597090095132</v>
          </cell>
        </row>
        <row r="9">
          <cell r="C9">
            <v>9.1899999999999996E-2</v>
          </cell>
          <cell r="E9">
            <v>0.19985070649132627</v>
          </cell>
        </row>
        <row r="10">
          <cell r="C10">
            <v>9.1249999999999998E-2</v>
          </cell>
          <cell r="E10">
            <v>0.14424286635142697</v>
          </cell>
        </row>
        <row r="11">
          <cell r="C11">
            <v>8.5050000000000001E-2</v>
          </cell>
          <cell r="E11">
            <v>0.13096166648013427</v>
          </cell>
        </row>
        <row r="12">
          <cell r="C12">
            <v>6.3500000000000001E-2</v>
          </cell>
          <cell r="E12">
            <v>8.3085898153329604E-2</v>
          </cell>
        </row>
        <row r="13">
          <cell r="C13">
            <v>0</v>
          </cell>
          <cell r="E13">
            <v>6.7347509792949081E-2</v>
          </cell>
        </row>
        <row r="14">
          <cell r="C14">
            <v>0.06</v>
          </cell>
          <cell r="E14">
            <v>0.121264689423615</v>
          </cell>
        </row>
        <row r="15">
          <cell r="C15">
            <v>7.4999999999999997E-2</v>
          </cell>
          <cell r="E15">
            <v>0.15019194180190265</v>
          </cell>
        </row>
        <row r="16">
          <cell r="C16">
            <v>8.2500000000000004E-2</v>
          </cell>
          <cell r="E16">
            <v>0.12276161163961949</v>
          </cell>
        </row>
        <row r="17">
          <cell r="C17">
            <v>4.4999999999999998E-2</v>
          </cell>
          <cell r="E17">
            <v>7.8889203973139338E-2</v>
          </cell>
        </row>
        <row r="18">
          <cell r="C18">
            <v>0.06</v>
          </cell>
          <cell r="E18">
            <v>2.7979854504756575E-2</v>
          </cell>
        </row>
        <row r="19">
          <cell r="C19">
            <v>0.1</v>
          </cell>
          <cell r="E19">
            <v>0.22649412423055398</v>
          </cell>
        </row>
        <row r="20">
          <cell r="C20">
            <v>7.0000000000000007E-2</v>
          </cell>
          <cell r="E20">
            <v>0.11376617713989927</v>
          </cell>
        </row>
        <row r="21">
          <cell r="C21">
            <v>7.0000000000000007E-2</v>
          </cell>
          <cell r="E21">
            <v>9.881925013989927E-2</v>
          </cell>
        </row>
        <row r="22">
          <cell r="C22">
            <v>8.3249999999999991E-2</v>
          </cell>
          <cell r="E22">
            <v>0.18038946905428091</v>
          </cell>
        </row>
        <row r="23">
          <cell r="C23">
            <v>0.06</v>
          </cell>
          <cell r="E23">
            <v>0.11262227196418578</v>
          </cell>
        </row>
        <row r="24">
          <cell r="C24">
            <v>9.7000000000000003E-2</v>
          </cell>
          <cell r="E24">
            <v>0.10137185226636822</v>
          </cell>
        </row>
        <row r="25">
          <cell r="C25">
            <v>5.5E-2</v>
          </cell>
          <cell r="E25">
            <v>9.0777839955232226E-2</v>
          </cell>
        </row>
        <row r="26">
          <cell r="C26">
            <v>0.06</v>
          </cell>
          <cell r="E26">
            <v>0.15583100167879127</v>
          </cell>
        </row>
        <row r="27">
          <cell r="C27">
            <v>6.25E-2</v>
          </cell>
          <cell r="E27">
            <v>0.10446978175713487</v>
          </cell>
        </row>
        <row r="28">
          <cell r="C28">
            <v>0.06</v>
          </cell>
          <cell r="E28">
            <v>9.8052602126468949E-2</v>
          </cell>
        </row>
        <row r="29">
          <cell r="C29">
            <v>7.9600000000000004E-2</v>
          </cell>
          <cell r="E29">
            <v>0.10356267487409065</v>
          </cell>
        </row>
        <row r="30">
          <cell r="C30">
            <v>7.4999999999999997E-2</v>
          </cell>
          <cell r="E30">
            <v>9.9378847229994405E-2</v>
          </cell>
        </row>
        <row r="31">
          <cell r="C31">
            <v>8.5400000000000004E-2</v>
          </cell>
          <cell r="E31">
            <v>0.15037500000000001</v>
          </cell>
        </row>
        <row r="32">
          <cell r="C32">
            <v>0</v>
          </cell>
          <cell r="E32">
            <v>6.8277839955232233E-2</v>
          </cell>
        </row>
        <row r="33">
          <cell r="C33">
            <v>7.1249999999999994E-2</v>
          </cell>
          <cell r="E33">
            <v>0.1948950755456072</v>
          </cell>
        </row>
        <row r="34">
          <cell r="C34">
            <v>8.3299999999999999E-2</v>
          </cell>
          <cell r="E34">
            <v>3.842021885842193E-2</v>
          </cell>
        </row>
        <row r="35">
          <cell r="C35">
            <v>0</v>
          </cell>
          <cell r="E35">
            <v>9.098489087856744E-2</v>
          </cell>
        </row>
        <row r="36">
          <cell r="C36">
            <v>6.6250000000000003E-2</v>
          </cell>
          <cell r="E36">
            <v>9.1431869054280912E-2</v>
          </cell>
        </row>
        <row r="37">
          <cell r="C37">
            <v>8.0299999999999996E-2</v>
          </cell>
          <cell r="E37">
            <v>0.12323878757694462</v>
          </cell>
        </row>
        <row r="38">
          <cell r="C38">
            <v>8.4400000000000003E-2</v>
          </cell>
          <cell r="E38">
            <v>0.18881978175713487</v>
          </cell>
        </row>
        <row r="39">
          <cell r="C39">
            <v>7.2499999999999995E-2</v>
          </cell>
          <cell r="E39">
            <v>9.0425293788472305E-2</v>
          </cell>
        </row>
        <row r="40">
          <cell r="C40">
            <v>7.2499999999999995E-2</v>
          </cell>
          <cell r="E40">
            <v>0.15429910464465585</v>
          </cell>
        </row>
        <row r="41">
          <cell r="C41">
            <v>7.7499999999999999E-2</v>
          </cell>
          <cell r="E41">
            <v>8.5589423626189154E-2</v>
          </cell>
        </row>
        <row r="42">
          <cell r="C42">
            <v>8.5800000000000001E-2</v>
          </cell>
          <cell r="E42">
            <v>0.13859192501398993</v>
          </cell>
        </row>
        <row r="43">
          <cell r="C43">
            <v>0</v>
          </cell>
          <cell r="E43">
            <v>7.5233005036373812E-2</v>
          </cell>
        </row>
        <row r="44">
          <cell r="C44">
            <v>7.0000000000000007E-2</v>
          </cell>
          <cell r="E44">
            <v>0.16616675993284835</v>
          </cell>
        </row>
        <row r="45">
          <cell r="C45">
            <v>0.115</v>
          </cell>
          <cell r="E45">
            <v>0.13773302725237829</v>
          </cell>
        </row>
        <row r="46">
          <cell r="C46">
            <v>7.0000000000000007E-2</v>
          </cell>
          <cell r="E46">
            <v>0.15497481813094571</v>
          </cell>
        </row>
        <row r="47">
          <cell r="C47">
            <v>8.5000000000000006E-2</v>
          </cell>
          <cell r="E47">
            <v>0.12998120542809175</v>
          </cell>
        </row>
        <row r="48">
          <cell r="C48">
            <v>6.5000000000000002E-2</v>
          </cell>
          <cell r="E48">
            <v>0.1451152963066592</v>
          </cell>
        </row>
        <row r="49">
          <cell r="C49">
            <v>9.5000000000000001E-2</v>
          </cell>
          <cell r="E49">
            <v>0.13696978175713487</v>
          </cell>
        </row>
        <row r="50">
          <cell r="C50">
            <v>8.2500000000000004E-2</v>
          </cell>
          <cell r="E50">
            <v>0.11892571852266368</v>
          </cell>
        </row>
        <row r="51">
          <cell r="C51">
            <v>7.4999999999999997E-2</v>
          </cell>
          <cell r="E51">
            <v>0.1614829322887521</v>
          </cell>
        </row>
        <row r="52">
          <cell r="C52">
            <v>6.5000000000000002E-2</v>
          </cell>
          <cell r="E52">
            <v>8.8999999999999996E-2</v>
          </cell>
        </row>
        <row r="53">
          <cell r="C53">
            <v>0.06</v>
          </cell>
          <cell r="E53">
            <v>7.6301063234471181E-2</v>
          </cell>
        </row>
        <row r="54">
          <cell r="C54">
            <v>9.8299999999999998E-2</v>
          </cell>
          <cell r="E54">
            <v>0.20654602686066034</v>
          </cell>
        </row>
        <row r="55">
          <cell r="C55">
            <v>7.0000000000000007E-2</v>
          </cell>
          <cell r="E55">
            <v>0.10744264129826525</v>
          </cell>
        </row>
        <row r="56">
          <cell r="C56">
            <v>5.5E-2</v>
          </cell>
          <cell r="E56">
            <v>7.8807465478567429E-2</v>
          </cell>
        </row>
        <row r="57">
          <cell r="C57">
            <v>5.5E-2</v>
          </cell>
          <cell r="E57">
            <v>9.4087085058757694E-2</v>
          </cell>
        </row>
        <row r="60">
          <cell r="C60">
            <v>7.7654855735352482E-2</v>
          </cell>
          <cell r="E60">
            <v>0.13146803466775153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91745-2F49-4657-88A6-8349BB07F212}">
  <dimension ref="A3:S38"/>
  <sheetViews>
    <sheetView tabSelected="1" workbookViewId="0">
      <selection activeCell="F17" sqref="F17"/>
    </sheetView>
  </sheetViews>
  <sheetFormatPr defaultColWidth="8.85546875" defaultRowHeight="15"/>
  <cols>
    <col min="1" max="1" width="37" customWidth="1"/>
    <col min="2" max="3" width="10.140625" customWidth="1"/>
    <col min="4" max="4" width="9.85546875" customWidth="1"/>
    <col min="5" max="18" width="10.140625" bestFit="1" customWidth="1"/>
    <col min="19" max="19" width="10.7109375" customWidth="1"/>
    <col min="257" max="257" width="54.7109375" customWidth="1"/>
    <col min="258" max="258" width="13.42578125" customWidth="1"/>
    <col min="259" max="259" width="10.28515625" bestFit="1" customWidth="1"/>
    <col min="260" max="262" width="10.140625" bestFit="1" customWidth="1"/>
    <col min="263" max="263" width="11.140625" customWidth="1"/>
    <col min="264" max="264" width="10.140625" bestFit="1" customWidth="1"/>
    <col min="265" max="266" width="10.42578125" customWidth="1"/>
    <col min="267" max="267" width="10.28515625" customWidth="1"/>
    <col min="513" max="513" width="54.7109375" customWidth="1"/>
    <col min="514" max="514" width="13.42578125" customWidth="1"/>
    <col min="515" max="515" width="10.28515625" bestFit="1" customWidth="1"/>
    <col min="516" max="518" width="10.140625" bestFit="1" customWidth="1"/>
    <col min="519" max="519" width="11.140625" customWidth="1"/>
    <col min="520" max="520" width="10.140625" bestFit="1" customWidth="1"/>
    <col min="521" max="522" width="10.42578125" customWidth="1"/>
    <col min="523" max="523" width="10.28515625" customWidth="1"/>
    <col min="769" max="769" width="54.7109375" customWidth="1"/>
    <col min="770" max="770" width="13.42578125" customWidth="1"/>
    <col min="771" max="771" width="10.28515625" bestFit="1" customWidth="1"/>
    <col min="772" max="774" width="10.140625" bestFit="1" customWidth="1"/>
    <col min="775" max="775" width="11.140625" customWidth="1"/>
    <col min="776" max="776" width="10.140625" bestFit="1" customWidth="1"/>
    <col min="777" max="778" width="10.42578125" customWidth="1"/>
    <col min="779" max="779" width="10.28515625" customWidth="1"/>
    <col min="1025" max="1025" width="54.7109375" customWidth="1"/>
    <col min="1026" max="1026" width="13.42578125" customWidth="1"/>
    <col min="1027" max="1027" width="10.28515625" bestFit="1" customWidth="1"/>
    <col min="1028" max="1030" width="10.140625" bestFit="1" customWidth="1"/>
    <col min="1031" max="1031" width="11.140625" customWidth="1"/>
    <col min="1032" max="1032" width="10.140625" bestFit="1" customWidth="1"/>
    <col min="1033" max="1034" width="10.42578125" customWidth="1"/>
    <col min="1035" max="1035" width="10.28515625" customWidth="1"/>
    <col min="1281" max="1281" width="54.7109375" customWidth="1"/>
    <col min="1282" max="1282" width="13.42578125" customWidth="1"/>
    <col min="1283" max="1283" width="10.28515625" bestFit="1" customWidth="1"/>
    <col min="1284" max="1286" width="10.140625" bestFit="1" customWidth="1"/>
    <col min="1287" max="1287" width="11.140625" customWidth="1"/>
    <col min="1288" max="1288" width="10.140625" bestFit="1" customWidth="1"/>
    <col min="1289" max="1290" width="10.42578125" customWidth="1"/>
    <col min="1291" max="1291" width="10.28515625" customWidth="1"/>
    <col min="1537" max="1537" width="54.7109375" customWidth="1"/>
    <col min="1538" max="1538" width="13.42578125" customWidth="1"/>
    <col min="1539" max="1539" width="10.28515625" bestFit="1" customWidth="1"/>
    <col min="1540" max="1542" width="10.140625" bestFit="1" customWidth="1"/>
    <col min="1543" max="1543" width="11.140625" customWidth="1"/>
    <col min="1544" max="1544" width="10.140625" bestFit="1" customWidth="1"/>
    <col min="1545" max="1546" width="10.42578125" customWidth="1"/>
    <col min="1547" max="1547" width="10.28515625" customWidth="1"/>
    <col min="1793" max="1793" width="54.7109375" customWidth="1"/>
    <col min="1794" max="1794" width="13.42578125" customWidth="1"/>
    <col min="1795" max="1795" width="10.28515625" bestFit="1" customWidth="1"/>
    <col min="1796" max="1798" width="10.140625" bestFit="1" customWidth="1"/>
    <col min="1799" max="1799" width="11.140625" customWidth="1"/>
    <col min="1800" max="1800" width="10.140625" bestFit="1" customWidth="1"/>
    <col min="1801" max="1802" width="10.42578125" customWidth="1"/>
    <col min="1803" max="1803" width="10.28515625" customWidth="1"/>
    <col min="2049" max="2049" width="54.7109375" customWidth="1"/>
    <col min="2050" max="2050" width="13.42578125" customWidth="1"/>
    <col min="2051" max="2051" width="10.28515625" bestFit="1" customWidth="1"/>
    <col min="2052" max="2054" width="10.140625" bestFit="1" customWidth="1"/>
    <col min="2055" max="2055" width="11.140625" customWidth="1"/>
    <col min="2056" max="2056" width="10.140625" bestFit="1" customWidth="1"/>
    <col min="2057" max="2058" width="10.42578125" customWidth="1"/>
    <col min="2059" max="2059" width="10.28515625" customWidth="1"/>
    <col min="2305" max="2305" width="54.7109375" customWidth="1"/>
    <col min="2306" max="2306" width="13.42578125" customWidth="1"/>
    <col min="2307" max="2307" width="10.28515625" bestFit="1" customWidth="1"/>
    <col min="2308" max="2310" width="10.140625" bestFit="1" customWidth="1"/>
    <col min="2311" max="2311" width="11.140625" customWidth="1"/>
    <col min="2312" max="2312" width="10.140625" bestFit="1" customWidth="1"/>
    <col min="2313" max="2314" width="10.42578125" customWidth="1"/>
    <col min="2315" max="2315" width="10.28515625" customWidth="1"/>
    <col min="2561" max="2561" width="54.7109375" customWidth="1"/>
    <col min="2562" max="2562" width="13.42578125" customWidth="1"/>
    <col min="2563" max="2563" width="10.28515625" bestFit="1" customWidth="1"/>
    <col min="2564" max="2566" width="10.140625" bestFit="1" customWidth="1"/>
    <col min="2567" max="2567" width="11.140625" customWidth="1"/>
    <col min="2568" max="2568" width="10.140625" bestFit="1" customWidth="1"/>
    <col min="2569" max="2570" width="10.42578125" customWidth="1"/>
    <col min="2571" max="2571" width="10.28515625" customWidth="1"/>
    <col min="2817" max="2817" width="54.7109375" customWidth="1"/>
    <col min="2818" max="2818" width="13.42578125" customWidth="1"/>
    <col min="2819" max="2819" width="10.28515625" bestFit="1" customWidth="1"/>
    <col min="2820" max="2822" width="10.140625" bestFit="1" customWidth="1"/>
    <col min="2823" max="2823" width="11.140625" customWidth="1"/>
    <col min="2824" max="2824" width="10.140625" bestFit="1" customWidth="1"/>
    <col min="2825" max="2826" width="10.42578125" customWidth="1"/>
    <col min="2827" max="2827" width="10.28515625" customWidth="1"/>
    <col min="3073" max="3073" width="54.7109375" customWidth="1"/>
    <col min="3074" max="3074" width="13.42578125" customWidth="1"/>
    <col min="3075" max="3075" width="10.28515625" bestFit="1" customWidth="1"/>
    <col min="3076" max="3078" width="10.140625" bestFit="1" customWidth="1"/>
    <col min="3079" max="3079" width="11.140625" customWidth="1"/>
    <col min="3080" max="3080" width="10.140625" bestFit="1" customWidth="1"/>
    <col min="3081" max="3082" width="10.42578125" customWidth="1"/>
    <col min="3083" max="3083" width="10.28515625" customWidth="1"/>
    <col min="3329" max="3329" width="54.7109375" customWidth="1"/>
    <col min="3330" max="3330" width="13.42578125" customWidth="1"/>
    <col min="3331" max="3331" width="10.28515625" bestFit="1" customWidth="1"/>
    <col min="3332" max="3334" width="10.140625" bestFit="1" customWidth="1"/>
    <col min="3335" max="3335" width="11.140625" customWidth="1"/>
    <col min="3336" max="3336" width="10.140625" bestFit="1" customWidth="1"/>
    <col min="3337" max="3338" width="10.42578125" customWidth="1"/>
    <col min="3339" max="3339" width="10.28515625" customWidth="1"/>
    <col min="3585" max="3585" width="54.7109375" customWidth="1"/>
    <col min="3586" max="3586" width="13.42578125" customWidth="1"/>
    <col min="3587" max="3587" width="10.28515625" bestFit="1" customWidth="1"/>
    <col min="3588" max="3590" width="10.140625" bestFit="1" customWidth="1"/>
    <col min="3591" max="3591" width="11.140625" customWidth="1"/>
    <col min="3592" max="3592" width="10.140625" bestFit="1" customWidth="1"/>
    <col min="3593" max="3594" width="10.42578125" customWidth="1"/>
    <col min="3595" max="3595" width="10.28515625" customWidth="1"/>
    <col min="3841" max="3841" width="54.7109375" customWidth="1"/>
    <col min="3842" max="3842" width="13.42578125" customWidth="1"/>
    <col min="3843" max="3843" width="10.28515625" bestFit="1" customWidth="1"/>
    <col min="3844" max="3846" width="10.140625" bestFit="1" customWidth="1"/>
    <col min="3847" max="3847" width="11.140625" customWidth="1"/>
    <col min="3848" max="3848" width="10.140625" bestFit="1" customWidth="1"/>
    <col min="3849" max="3850" width="10.42578125" customWidth="1"/>
    <col min="3851" max="3851" width="10.28515625" customWidth="1"/>
    <col min="4097" max="4097" width="54.7109375" customWidth="1"/>
    <col min="4098" max="4098" width="13.42578125" customWidth="1"/>
    <col min="4099" max="4099" width="10.28515625" bestFit="1" customWidth="1"/>
    <col min="4100" max="4102" width="10.140625" bestFit="1" customWidth="1"/>
    <col min="4103" max="4103" width="11.140625" customWidth="1"/>
    <col min="4104" max="4104" width="10.140625" bestFit="1" customWidth="1"/>
    <col min="4105" max="4106" width="10.42578125" customWidth="1"/>
    <col min="4107" max="4107" width="10.28515625" customWidth="1"/>
    <col min="4353" max="4353" width="54.7109375" customWidth="1"/>
    <col min="4354" max="4354" width="13.42578125" customWidth="1"/>
    <col min="4355" max="4355" width="10.28515625" bestFit="1" customWidth="1"/>
    <col min="4356" max="4358" width="10.140625" bestFit="1" customWidth="1"/>
    <col min="4359" max="4359" width="11.140625" customWidth="1"/>
    <col min="4360" max="4360" width="10.140625" bestFit="1" customWidth="1"/>
    <col min="4361" max="4362" width="10.42578125" customWidth="1"/>
    <col min="4363" max="4363" width="10.28515625" customWidth="1"/>
    <col min="4609" max="4609" width="54.7109375" customWidth="1"/>
    <col min="4610" max="4610" width="13.42578125" customWidth="1"/>
    <col min="4611" max="4611" width="10.28515625" bestFit="1" customWidth="1"/>
    <col min="4612" max="4614" width="10.140625" bestFit="1" customWidth="1"/>
    <col min="4615" max="4615" width="11.140625" customWidth="1"/>
    <col min="4616" max="4616" width="10.140625" bestFit="1" customWidth="1"/>
    <col min="4617" max="4618" width="10.42578125" customWidth="1"/>
    <col min="4619" max="4619" width="10.28515625" customWidth="1"/>
    <col min="4865" max="4865" width="54.7109375" customWidth="1"/>
    <col min="4866" max="4866" width="13.42578125" customWidth="1"/>
    <col min="4867" max="4867" width="10.28515625" bestFit="1" customWidth="1"/>
    <col min="4868" max="4870" width="10.140625" bestFit="1" customWidth="1"/>
    <col min="4871" max="4871" width="11.140625" customWidth="1"/>
    <col min="4872" max="4872" width="10.140625" bestFit="1" customWidth="1"/>
    <col min="4873" max="4874" width="10.42578125" customWidth="1"/>
    <col min="4875" max="4875" width="10.28515625" customWidth="1"/>
    <col min="5121" max="5121" width="54.7109375" customWidth="1"/>
    <col min="5122" max="5122" width="13.42578125" customWidth="1"/>
    <col min="5123" max="5123" width="10.28515625" bestFit="1" customWidth="1"/>
    <col min="5124" max="5126" width="10.140625" bestFit="1" customWidth="1"/>
    <col min="5127" max="5127" width="11.140625" customWidth="1"/>
    <col min="5128" max="5128" width="10.140625" bestFit="1" customWidth="1"/>
    <col min="5129" max="5130" width="10.42578125" customWidth="1"/>
    <col min="5131" max="5131" width="10.28515625" customWidth="1"/>
    <col min="5377" max="5377" width="54.7109375" customWidth="1"/>
    <col min="5378" max="5378" width="13.42578125" customWidth="1"/>
    <col min="5379" max="5379" width="10.28515625" bestFit="1" customWidth="1"/>
    <col min="5380" max="5382" width="10.140625" bestFit="1" customWidth="1"/>
    <col min="5383" max="5383" width="11.140625" customWidth="1"/>
    <col min="5384" max="5384" width="10.140625" bestFit="1" customWidth="1"/>
    <col min="5385" max="5386" width="10.42578125" customWidth="1"/>
    <col min="5387" max="5387" width="10.28515625" customWidth="1"/>
    <col min="5633" max="5633" width="54.7109375" customWidth="1"/>
    <col min="5634" max="5634" width="13.42578125" customWidth="1"/>
    <col min="5635" max="5635" width="10.28515625" bestFit="1" customWidth="1"/>
    <col min="5636" max="5638" width="10.140625" bestFit="1" customWidth="1"/>
    <col min="5639" max="5639" width="11.140625" customWidth="1"/>
    <col min="5640" max="5640" width="10.140625" bestFit="1" customWidth="1"/>
    <col min="5641" max="5642" width="10.42578125" customWidth="1"/>
    <col min="5643" max="5643" width="10.28515625" customWidth="1"/>
    <col min="5889" max="5889" width="54.7109375" customWidth="1"/>
    <col min="5890" max="5890" width="13.42578125" customWidth="1"/>
    <col min="5891" max="5891" width="10.28515625" bestFit="1" customWidth="1"/>
    <col min="5892" max="5894" width="10.140625" bestFit="1" customWidth="1"/>
    <col min="5895" max="5895" width="11.140625" customWidth="1"/>
    <col min="5896" max="5896" width="10.140625" bestFit="1" customWidth="1"/>
    <col min="5897" max="5898" width="10.42578125" customWidth="1"/>
    <col min="5899" max="5899" width="10.28515625" customWidth="1"/>
    <col min="6145" max="6145" width="54.7109375" customWidth="1"/>
    <col min="6146" max="6146" width="13.42578125" customWidth="1"/>
    <col min="6147" max="6147" width="10.28515625" bestFit="1" customWidth="1"/>
    <col min="6148" max="6150" width="10.140625" bestFit="1" customWidth="1"/>
    <col min="6151" max="6151" width="11.140625" customWidth="1"/>
    <col min="6152" max="6152" width="10.140625" bestFit="1" customWidth="1"/>
    <col min="6153" max="6154" width="10.42578125" customWidth="1"/>
    <col min="6155" max="6155" width="10.28515625" customWidth="1"/>
    <col min="6401" max="6401" width="54.7109375" customWidth="1"/>
    <col min="6402" max="6402" width="13.42578125" customWidth="1"/>
    <col min="6403" max="6403" width="10.28515625" bestFit="1" customWidth="1"/>
    <col min="6404" max="6406" width="10.140625" bestFit="1" customWidth="1"/>
    <col min="6407" max="6407" width="11.140625" customWidth="1"/>
    <col min="6408" max="6408" width="10.140625" bestFit="1" customWidth="1"/>
    <col min="6409" max="6410" width="10.42578125" customWidth="1"/>
    <col min="6411" max="6411" width="10.28515625" customWidth="1"/>
    <col min="6657" max="6657" width="54.7109375" customWidth="1"/>
    <col min="6658" max="6658" width="13.42578125" customWidth="1"/>
    <col min="6659" max="6659" width="10.28515625" bestFit="1" customWidth="1"/>
    <col min="6660" max="6662" width="10.140625" bestFit="1" customWidth="1"/>
    <col min="6663" max="6663" width="11.140625" customWidth="1"/>
    <col min="6664" max="6664" width="10.140625" bestFit="1" customWidth="1"/>
    <col min="6665" max="6666" width="10.42578125" customWidth="1"/>
    <col min="6667" max="6667" width="10.28515625" customWidth="1"/>
    <col min="6913" max="6913" width="54.7109375" customWidth="1"/>
    <col min="6914" max="6914" width="13.42578125" customWidth="1"/>
    <col min="6915" max="6915" width="10.28515625" bestFit="1" customWidth="1"/>
    <col min="6916" max="6918" width="10.140625" bestFit="1" customWidth="1"/>
    <col min="6919" max="6919" width="11.140625" customWidth="1"/>
    <col min="6920" max="6920" width="10.140625" bestFit="1" customWidth="1"/>
    <col min="6921" max="6922" width="10.42578125" customWidth="1"/>
    <col min="6923" max="6923" width="10.28515625" customWidth="1"/>
    <col min="7169" max="7169" width="54.7109375" customWidth="1"/>
    <col min="7170" max="7170" width="13.42578125" customWidth="1"/>
    <col min="7171" max="7171" width="10.28515625" bestFit="1" customWidth="1"/>
    <col min="7172" max="7174" width="10.140625" bestFit="1" customWidth="1"/>
    <col min="7175" max="7175" width="11.140625" customWidth="1"/>
    <col min="7176" max="7176" width="10.140625" bestFit="1" customWidth="1"/>
    <col min="7177" max="7178" width="10.42578125" customWidth="1"/>
    <col min="7179" max="7179" width="10.28515625" customWidth="1"/>
    <col min="7425" max="7425" width="54.7109375" customWidth="1"/>
    <col min="7426" max="7426" width="13.42578125" customWidth="1"/>
    <col min="7427" max="7427" width="10.28515625" bestFit="1" customWidth="1"/>
    <col min="7428" max="7430" width="10.140625" bestFit="1" customWidth="1"/>
    <col min="7431" max="7431" width="11.140625" customWidth="1"/>
    <col min="7432" max="7432" width="10.140625" bestFit="1" customWidth="1"/>
    <col min="7433" max="7434" width="10.42578125" customWidth="1"/>
    <col min="7435" max="7435" width="10.28515625" customWidth="1"/>
    <col min="7681" max="7681" width="54.7109375" customWidth="1"/>
    <col min="7682" max="7682" width="13.42578125" customWidth="1"/>
    <col min="7683" max="7683" width="10.28515625" bestFit="1" customWidth="1"/>
    <col min="7684" max="7686" width="10.140625" bestFit="1" customWidth="1"/>
    <col min="7687" max="7687" width="11.140625" customWidth="1"/>
    <col min="7688" max="7688" width="10.140625" bestFit="1" customWidth="1"/>
    <col min="7689" max="7690" width="10.42578125" customWidth="1"/>
    <col min="7691" max="7691" width="10.28515625" customWidth="1"/>
    <col min="7937" max="7937" width="54.7109375" customWidth="1"/>
    <col min="7938" max="7938" width="13.42578125" customWidth="1"/>
    <col min="7939" max="7939" width="10.28515625" bestFit="1" customWidth="1"/>
    <col min="7940" max="7942" width="10.140625" bestFit="1" customWidth="1"/>
    <col min="7943" max="7943" width="11.140625" customWidth="1"/>
    <col min="7944" max="7944" width="10.140625" bestFit="1" customWidth="1"/>
    <col min="7945" max="7946" width="10.42578125" customWidth="1"/>
    <col min="7947" max="7947" width="10.28515625" customWidth="1"/>
    <col min="8193" max="8193" width="54.7109375" customWidth="1"/>
    <col min="8194" max="8194" width="13.42578125" customWidth="1"/>
    <col min="8195" max="8195" width="10.28515625" bestFit="1" customWidth="1"/>
    <col min="8196" max="8198" width="10.140625" bestFit="1" customWidth="1"/>
    <col min="8199" max="8199" width="11.140625" customWidth="1"/>
    <col min="8200" max="8200" width="10.140625" bestFit="1" customWidth="1"/>
    <col min="8201" max="8202" width="10.42578125" customWidth="1"/>
    <col min="8203" max="8203" width="10.28515625" customWidth="1"/>
    <col min="8449" max="8449" width="54.7109375" customWidth="1"/>
    <col min="8450" max="8450" width="13.42578125" customWidth="1"/>
    <col min="8451" max="8451" width="10.28515625" bestFit="1" customWidth="1"/>
    <col min="8452" max="8454" width="10.140625" bestFit="1" customWidth="1"/>
    <col min="8455" max="8455" width="11.140625" customWidth="1"/>
    <col min="8456" max="8456" width="10.140625" bestFit="1" customWidth="1"/>
    <col min="8457" max="8458" width="10.42578125" customWidth="1"/>
    <col min="8459" max="8459" width="10.28515625" customWidth="1"/>
    <col min="8705" max="8705" width="54.7109375" customWidth="1"/>
    <col min="8706" max="8706" width="13.42578125" customWidth="1"/>
    <col min="8707" max="8707" width="10.28515625" bestFit="1" customWidth="1"/>
    <col min="8708" max="8710" width="10.140625" bestFit="1" customWidth="1"/>
    <col min="8711" max="8711" width="11.140625" customWidth="1"/>
    <col min="8712" max="8712" width="10.140625" bestFit="1" customWidth="1"/>
    <col min="8713" max="8714" width="10.42578125" customWidth="1"/>
    <col min="8715" max="8715" width="10.28515625" customWidth="1"/>
    <col min="8961" max="8961" width="54.7109375" customWidth="1"/>
    <col min="8962" max="8962" width="13.42578125" customWidth="1"/>
    <col min="8963" max="8963" width="10.28515625" bestFit="1" customWidth="1"/>
    <col min="8964" max="8966" width="10.140625" bestFit="1" customWidth="1"/>
    <col min="8967" max="8967" width="11.140625" customWidth="1"/>
    <col min="8968" max="8968" width="10.140625" bestFit="1" customWidth="1"/>
    <col min="8969" max="8970" width="10.42578125" customWidth="1"/>
    <col min="8971" max="8971" width="10.28515625" customWidth="1"/>
    <col min="9217" max="9217" width="54.7109375" customWidth="1"/>
    <col min="9218" max="9218" width="13.42578125" customWidth="1"/>
    <col min="9219" max="9219" width="10.28515625" bestFit="1" customWidth="1"/>
    <col min="9220" max="9222" width="10.140625" bestFit="1" customWidth="1"/>
    <col min="9223" max="9223" width="11.140625" customWidth="1"/>
    <col min="9224" max="9224" width="10.140625" bestFit="1" customWidth="1"/>
    <col min="9225" max="9226" width="10.42578125" customWidth="1"/>
    <col min="9227" max="9227" width="10.28515625" customWidth="1"/>
    <col min="9473" max="9473" width="54.7109375" customWidth="1"/>
    <col min="9474" max="9474" width="13.42578125" customWidth="1"/>
    <col min="9475" max="9475" width="10.28515625" bestFit="1" customWidth="1"/>
    <col min="9476" max="9478" width="10.140625" bestFit="1" customWidth="1"/>
    <col min="9479" max="9479" width="11.140625" customWidth="1"/>
    <col min="9480" max="9480" width="10.140625" bestFit="1" customWidth="1"/>
    <col min="9481" max="9482" width="10.42578125" customWidth="1"/>
    <col min="9483" max="9483" width="10.28515625" customWidth="1"/>
    <col min="9729" max="9729" width="54.7109375" customWidth="1"/>
    <col min="9730" max="9730" width="13.42578125" customWidth="1"/>
    <col min="9731" max="9731" width="10.28515625" bestFit="1" customWidth="1"/>
    <col min="9732" max="9734" width="10.140625" bestFit="1" customWidth="1"/>
    <col min="9735" max="9735" width="11.140625" customWidth="1"/>
    <col min="9736" max="9736" width="10.140625" bestFit="1" customWidth="1"/>
    <col min="9737" max="9738" width="10.42578125" customWidth="1"/>
    <col min="9739" max="9739" width="10.28515625" customWidth="1"/>
    <col min="9985" max="9985" width="54.7109375" customWidth="1"/>
    <col min="9986" max="9986" width="13.42578125" customWidth="1"/>
    <col min="9987" max="9987" width="10.28515625" bestFit="1" customWidth="1"/>
    <col min="9988" max="9990" width="10.140625" bestFit="1" customWidth="1"/>
    <col min="9991" max="9991" width="11.140625" customWidth="1"/>
    <col min="9992" max="9992" width="10.140625" bestFit="1" customWidth="1"/>
    <col min="9993" max="9994" width="10.42578125" customWidth="1"/>
    <col min="9995" max="9995" width="10.28515625" customWidth="1"/>
    <col min="10241" max="10241" width="54.7109375" customWidth="1"/>
    <col min="10242" max="10242" width="13.42578125" customWidth="1"/>
    <col min="10243" max="10243" width="10.28515625" bestFit="1" customWidth="1"/>
    <col min="10244" max="10246" width="10.140625" bestFit="1" customWidth="1"/>
    <col min="10247" max="10247" width="11.140625" customWidth="1"/>
    <col min="10248" max="10248" width="10.140625" bestFit="1" customWidth="1"/>
    <col min="10249" max="10250" width="10.42578125" customWidth="1"/>
    <col min="10251" max="10251" width="10.28515625" customWidth="1"/>
    <col min="10497" max="10497" width="54.7109375" customWidth="1"/>
    <col min="10498" max="10498" width="13.42578125" customWidth="1"/>
    <col min="10499" max="10499" width="10.28515625" bestFit="1" customWidth="1"/>
    <col min="10500" max="10502" width="10.140625" bestFit="1" customWidth="1"/>
    <col min="10503" max="10503" width="11.140625" customWidth="1"/>
    <col min="10504" max="10504" width="10.140625" bestFit="1" customWidth="1"/>
    <col min="10505" max="10506" width="10.42578125" customWidth="1"/>
    <col min="10507" max="10507" width="10.28515625" customWidth="1"/>
    <col min="10753" max="10753" width="54.7109375" customWidth="1"/>
    <col min="10754" max="10754" width="13.42578125" customWidth="1"/>
    <col min="10755" max="10755" width="10.28515625" bestFit="1" customWidth="1"/>
    <col min="10756" max="10758" width="10.140625" bestFit="1" customWidth="1"/>
    <col min="10759" max="10759" width="11.140625" customWidth="1"/>
    <col min="10760" max="10760" width="10.140625" bestFit="1" customWidth="1"/>
    <col min="10761" max="10762" width="10.42578125" customWidth="1"/>
    <col min="10763" max="10763" width="10.28515625" customWidth="1"/>
    <col min="11009" max="11009" width="54.7109375" customWidth="1"/>
    <col min="11010" max="11010" width="13.42578125" customWidth="1"/>
    <col min="11011" max="11011" width="10.28515625" bestFit="1" customWidth="1"/>
    <col min="11012" max="11014" width="10.140625" bestFit="1" customWidth="1"/>
    <col min="11015" max="11015" width="11.140625" customWidth="1"/>
    <col min="11016" max="11016" width="10.140625" bestFit="1" customWidth="1"/>
    <col min="11017" max="11018" width="10.42578125" customWidth="1"/>
    <col min="11019" max="11019" width="10.28515625" customWidth="1"/>
    <col min="11265" max="11265" width="54.7109375" customWidth="1"/>
    <col min="11266" max="11266" width="13.42578125" customWidth="1"/>
    <col min="11267" max="11267" width="10.28515625" bestFit="1" customWidth="1"/>
    <col min="11268" max="11270" width="10.140625" bestFit="1" customWidth="1"/>
    <col min="11271" max="11271" width="11.140625" customWidth="1"/>
    <col min="11272" max="11272" width="10.140625" bestFit="1" customWidth="1"/>
    <col min="11273" max="11274" width="10.42578125" customWidth="1"/>
    <col min="11275" max="11275" width="10.28515625" customWidth="1"/>
    <col min="11521" max="11521" width="54.7109375" customWidth="1"/>
    <col min="11522" max="11522" width="13.42578125" customWidth="1"/>
    <col min="11523" max="11523" width="10.28515625" bestFit="1" customWidth="1"/>
    <col min="11524" max="11526" width="10.140625" bestFit="1" customWidth="1"/>
    <col min="11527" max="11527" width="11.140625" customWidth="1"/>
    <col min="11528" max="11528" width="10.140625" bestFit="1" customWidth="1"/>
    <col min="11529" max="11530" width="10.42578125" customWidth="1"/>
    <col min="11531" max="11531" width="10.28515625" customWidth="1"/>
    <col min="11777" max="11777" width="54.7109375" customWidth="1"/>
    <col min="11778" max="11778" width="13.42578125" customWidth="1"/>
    <col min="11779" max="11779" width="10.28515625" bestFit="1" customWidth="1"/>
    <col min="11780" max="11782" width="10.140625" bestFit="1" customWidth="1"/>
    <col min="11783" max="11783" width="11.140625" customWidth="1"/>
    <col min="11784" max="11784" width="10.140625" bestFit="1" customWidth="1"/>
    <col min="11785" max="11786" width="10.42578125" customWidth="1"/>
    <col min="11787" max="11787" width="10.28515625" customWidth="1"/>
    <col min="12033" max="12033" width="54.7109375" customWidth="1"/>
    <col min="12034" max="12034" width="13.42578125" customWidth="1"/>
    <col min="12035" max="12035" width="10.28515625" bestFit="1" customWidth="1"/>
    <col min="12036" max="12038" width="10.140625" bestFit="1" customWidth="1"/>
    <col min="12039" max="12039" width="11.140625" customWidth="1"/>
    <col min="12040" max="12040" width="10.140625" bestFit="1" customWidth="1"/>
    <col min="12041" max="12042" width="10.42578125" customWidth="1"/>
    <col min="12043" max="12043" width="10.28515625" customWidth="1"/>
    <col min="12289" max="12289" width="54.7109375" customWidth="1"/>
    <col min="12290" max="12290" width="13.42578125" customWidth="1"/>
    <col min="12291" max="12291" width="10.28515625" bestFit="1" customWidth="1"/>
    <col min="12292" max="12294" width="10.140625" bestFit="1" customWidth="1"/>
    <col min="12295" max="12295" width="11.140625" customWidth="1"/>
    <col min="12296" max="12296" width="10.140625" bestFit="1" customWidth="1"/>
    <col min="12297" max="12298" width="10.42578125" customWidth="1"/>
    <col min="12299" max="12299" width="10.28515625" customWidth="1"/>
    <col min="12545" max="12545" width="54.7109375" customWidth="1"/>
    <col min="12546" max="12546" width="13.42578125" customWidth="1"/>
    <col min="12547" max="12547" width="10.28515625" bestFit="1" customWidth="1"/>
    <col min="12548" max="12550" width="10.140625" bestFit="1" customWidth="1"/>
    <col min="12551" max="12551" width="11.140625" customWidth="1"/>
    <col min="12552" max="12552" width="10.140625" bestFit="1" customWidth="1"/>
    <col min="12553" max="12554" width="10.42578125" customWidth="1"/>
    <col min="12555" max="12555" width="10.28515625" customWidth="1"/>
    <col min="12801" max="12801" width="54.7109375" customWidth="1"/>
    <col min="12802" max="12802" width="13.42578125" customWidth="1"/>
    <col min="12803" max="12803" width="10.28515625" bestFit="1" customWidth="1"/>
    <col min="12804" max="12806" width="10.140625" bestFit="1" customWidth="1"/>
    <col min="12807" max="12807" width="11.140625" customWidth="1"/>
    <col min="12808" max="12808" width="10.140625" bestFit="1" customWidth="1"/>
    <col min="12809" max="12810" width="10.42578125" customWidth="1"/>
    <col min="12811" max="12811" width="10.28515625" customWidth="1"/>
    <col min="13057" max="13057" width="54.7109375" customWidth="1"/>
    <col min="13058" max="13058" width="13.42578125" customWidth="1"/>
    <col min="13059" max="13059" width="10.28515625" bestFit="1" customWidth="1"/>
    <col min="13060" max="13062" width="10.140625" bestFit="1" customWidth="1"/>
    <col min="13063" max="13063" width="11.140625" customWidth="1"/>
    <col min="13064" max="13064" width="10.140625" bestFit="1" customWidth="1"/>
    <col min="13065" max="13066" width="10.42578125" customWidth="1"/>
    <col min="13067" max="13067" width="10.28515625" customWidth="1"/>
    <col min="13313" max="13313" width="54.7109375" customWidth="1"/>
    <col min="13314" max="13314" width="13.42578125" customWidth="1"/>
    <col min="13315" max="13315" width="10.28515625" bestFit="1" customWidth="1"/>
    <col min="13316" max="13318" width="10.140625" bestFit="1" customWidth="1"/>
    <col min="13319" max="13319" width="11.140625" customWidth="1"/>
    <col min="13320" max="13320" width="10.140625" bestFit="1" customWidth="1"/>
    <col min="13321" max="13322" width="10.42578125" customWidth="1"/>
    <col min="13323" max="13323" width="10.28515625" customWidth="1"/>
    <col min="13569" max="13569" width="54.7109375" customWidth="1"/>
    <col min="13570" max="13570" width="13.42578125" customWidth="1"/>
    <col min="13571" max="13571" width="10.28515625" bestFit="1" customWidth="1"/>
    <col min="13572" max="13574" width="10.140625" bestFit="1" customWidth="1"/>
    <col min="13575" max="13575" width="11.140625" customWidth="1"/>
    <col min="13576" max="13576" width="10.140625" bestFit="1" customWidth="1"/>
    <col min="13577" max="13578" width="10.42578125" customWidth="1"/>
    <col min="13579" max="13579" width="10.28515625" customWidth="1"/>
    <col min="13825" max="13825" width="54.7109375" customWidth="1"/>
    <col min="13826" max="13826" width="13.42578125" customWidth="1"/>
    <col min="13827" max="13827" width="10.28515625" bestFit="1" customWidth="1"/>
    <col min="13828" max="13830" width="10.140625" bestFit="1" customWidth="1"/>
    <col min="13831" max="13831" width="11.140625" customWidth="1"/>
    <col min="13832" max="13832" width="10.140625" bestFit="1" customWidth="1"/>
    <col min="13833" max="13834" width="10.42578125" customWidth="1"/>
    <col min="13835" max="13835" width="10.28515625" customWidth="1"/>
    <col min="14081" max="14081" width="54.7109375" customWidth="1"/>
    <col min="14082" max="14082" width="13.42578125" customWidth="1"/>
    <col min="14083" max="14083" width="10.28515625" bestFit="1" customWidth="1"/>
    <col min="14084" max="14086" width="10.140625" bestFit="1" customWidth="1"/>
    <col min="14087" max="14087" width="11.140625" customWidth="1"/>
    <col min="14088" max="14088" width="10.140625" bestFit="1" customWidth="1"/>
    <col min="14089" max="14090" width="10.42578125" customWidth="1"/>
    <col min="14091" max="14091" width="10.28515625" customWidth="1"/>
    <col min="14337" max="14337" width="54.7109375" customWidth="1"/>
    <col min="14338" max="14338" width="13.42578125" customWidth="1"/>
    <col min="14339" max="14339" width="10.28515625" bestFit="1" customWidth="1"/>
    <col min="14340" max="14342" width="10.140625" bestFit="1" customWidth="1"/>
    <col min="14343" max="14343" width="11.140625" customWidth="1"/>
    <col min="14344" max="14344" width="10.140625" bestFit="1" customWidth="1"/>
    <col min="14345" max="14346" width="10.42578125" customWidth="1"/>
    <col min="14347" max="14347" width="10.28515625" customWidth="1"/>
    <col min="14593" max="14593" width="54.7109375" customWidth="1"/>
    <col min="14594" max="14594" width="13.42578125" customWidth="1"/>
    <col min="14595" max="14595" width="10.28515625" bestFit="1" customWidth="1"/>
    <col min="14596" max="14598" width="10.140625" bestFit="1" customWidth="1"/>
    <col min="14599" max="14599" width="11.140625" customWidth="1"/>
    <col min="14600" max="14600" width="10.140625" bestFit="1" customWidth="1"/>
    <col min="14601" max="14602" width="10.42578125" customWidth="1"/>
    <col min="14603" max="14603" width="10.28515625" customWidth="1"/>
    <col min="14849" max="14849" width="54.7109375" customWidth="1"/>
    <col min="14850" max="14850" width="13.42578125" customWidth="1"/>
    <col min="14851" max="14851" width="10.28515625" bestFit="1" customWidth="1"/>
    <col min="14852" max="14854" width="10.140625" bestFit="1" customWidth="1"/>
    <col min="14855" max="14855" width="11.140625" customWidth="1"/>
    <col min="14856" max="14856" width="10.140625" bestFit="1" customWidth="1"/>
    <col min="14857" max="14858" width="10.42578125" customWidth="1"/>
    <col min="14859" max="14859" width="10.28515625" customWidth="1"/>
    <col min="15105" max="15105" width="54.7109375" customWidth="1"/>
    <col min="15106" max="15106" width="13.42578125" customWidth="1"/>
    <col min="15107" max="15107" width="10.28515625" bestFit="1" customWidth="1"/>
    <col min="15108" max="15110" width="10.140625" bestFit="1" customWidth="1"/>
    <col min="15111" max="15111" width="11.140625" customWidth="1"/>
    <col min="15112" max="15112" width="10.140625" bestFit="1" customWidth="1"/>
    <col min="15113" max="15114" width="10.42578125" customWidth="1"/>
    <col min="15115" max="15115" width="10.28515625" customWidth="1"/>
    <col min="15361" max="15361" width="54.7109375" customWidth="1"/>
    <col min="15362" max="15362" width="13.42578125" customWidth="1"/>
    <col min="15363" max="15363" width="10.28515625" bestFit="1" customWidth="1"/>
    <col min="15364" max="15366" width="10.140625" bestFit="1" customWidth="1"/>
    <col min="15367" max="15367" width="11.140625" customWidth="1"/>
    <col min="15368" max="15368" width="10.140625" bestFit="1" customWidth="1"/>
    <col min="15369" max="15370" width="10.42578125" customWidth="1"/>
    <col min="15371" max="15371" width="10.28515625" customWidth="1"/>
    <col min="15617" max="15617" width="54.7109375" customWidth="1"/>
    <col min="15618" max="15618" width="13.42578125" customWidth="1"/>
    <col min="15619" max="15619" width="10.28515625" bestFit="1" customWidth="1"/>
    <col min="15620" max="15622" width="10.140625" bestFit="1" customWidth="1"/>
    <col min="15623" max="15623" width="11.140625" customWidth="1"/>
    <col min="15624" max="15624" width="10.140625" bestFit="1" customWidth="1"/>
    <col min="15625" max="15626" width="10.42578125" customWidth="1"/>
    <col min="15627" max="15627" width="10.28515625" customWidth="1"/>
    <col min="15873" max="15873" width="54.7109375" customWidth="1"/>
    <col min="15874" max="15874" width="13.42578125" customWidth="1"/>
    <col min="15875" max="15875" width="10.28515625" bestFit="1" customWidth="1"/>
    <col min="15876" max="15878" width="10.140625" bestFit="1" customWidth="1"/>
    <col min="15879" max="15879" width="11.140625" customWidth="1"/>
    <col min="15880" max="15880" width="10.140625" bestFit="1" customWidth="1"/>
    <col min="15881" max="15882" width="10.42578125" customWidth="1"/>
    <col min="15883" max="15883" width="10.28515625" customWidth="1"/>
    <col min="16129" max="16129" width="54.7109375" customWidth="1"/>
    <col min="16130" max="16130" width="13.42578125" customWidth="1"/>
    <col min="16131" max="16131" width="10.28515625" bestFit="1" customWidth="1"/>
    <col min="16132" max="16134" width="10.140625" bestFit="1" customWidth="1"/>
    <col min="16135" max="16135" width="11.140625" customWidth="1"/>
    <col min="16136" max="16136" width="10.140625" bestFit="1" customWidth="1"/>
    <col min="16137" max="16138" width="10.42578125" customWidth="1"/>
    <col min="16139" max="16139" width="10.28515625" customWidth="1"/>
  </cols>
  <sheetData>
    <row r="3" spans="1:19" ht="18">
      <c r="A3" s="83" t="s">
        <v>349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1:19" ht="15.75">
      <c r="A4" s="50"/>
    </row>
    <row r="5" spans="1:19" ht="15.75">
      <c r="B5" s="51">
        <v>37622</v>
      </c>
      <c r="C5" s="51">
        <v>38078</v>
      </c>
      <c r="D5" s="51">
        <v>38534</v>
      </c>
      <c r="E5" s="51">
        <v>38899</v>
      </c>
      <c r="F5" s="51">
        <v>39264</v>
      </c>
      <c r="G5" s="51">
        <v>39630</v>
      </c>
      <c r="H5" s="51">
        <v>39995</v>
      </c>
      <c r="I5" s="51">
        <v>40360</v>
      </c>
      <c r="J5" s="51">
        <v>41091</v>
      </c>
      <c r="K5" s="51">
        <v>41821</v>
      </c>
      <c r="L5" s="51">
        <v>42186</v>
      </c>
      <c r="M5" s="51">
        <v>42552</v>
      </c>
      <c r="N5" s="51">
        <v>42917</v>
      </c>
      <c r="O5" s="51">
        <v>43282</v>
      </c>
      <c r="P5" s="51">
        <v>43647</v>
      </c>
      <c r="Q5" s="51">
        <v>44013</v>
      </c>
      <c r="R5" s="51">
        <v>44378</v>
      </c>
      <c r="S5" s="51">
        <v>44743</v>
      </c>
    </row>
    <row r="6" spans="1:19" ht="15.75">
      <c r="A6" s="52" t="s">
        <v>350</v>
      </c>
    </row>
    <row r="7" spans="1:19" ht="15.75">
      <c r="A7" s="50" t="s">
        <v>351</v>
      </c>
      <c r="B7" s="53">
        <v>0.10199999999999999</v>
      </c>
      <c r="C7" s="53">
        <v>0.1074</v>
      </c>
      <c r="D7" s="53">
        <v>0.1094</v>
      </c>
      <c r="E7" s="53">
        <v>0.1114</v>
      </c>
      <c r="F7" s="53">
        <v>0.11</v>
      </c>
      <c r="G7" s="53">
        <v>0.1086</v>
      </c>
      <c r="H7" s="53">
        <v>0.1074</v>
      </c>
      <c r="I7" s="53">
        <v>0.11210000000000001</v>
      </c>
      <c r="J7" s="53">
        <v>0.11360000000000001</v>
      </c>
      <c r="K7" s="53">
        <v>0.1123</v>
      </c>
      <c r="L7" s="53">
        <v>0.115</v>
      </c>
      <c r="M7" s="53">
        <v>0.1193</v>
      </c>
      <c r="N7" s="53">
        <v>0.1211</v>
      </c>
      <c r="O7" s="53">
        <v>0.1246</v>
      </c>
      <c r="P7" s="53">
        <v>0.1265</v>
      </c>
      <c r="Q7" s="53">
        <f>'[1]WGHT calcs --not for publicatio'!E60</f>
        <v>0.12818055477702545</v>
      </c>
      <c r="R7" s="53">
        <v>0.13159999999999999</v>
      </c>
      <c r="S7" s="53">
        <v>0.13150000000000001</v>
      </c>
    </row>
    <row r="8" spans="1:19" ht="15.75">
      <c r="A8" s="50" t="s">
        <v>352</v>
      </c>
      <c r="B8" s="53">
        <v>5.0700000000000002E-2</v>
      </c>
      <c r="C8" s="53">
        <v>5.4800000000000001E-2</v>
      </c>
      <c r="D8" s="53">
        <v>5.91E-2</v>
      </c>
      <c r="E8" s="53">
        <v>2.9899999999999999E-2</v>
      </c>
      <c r="F8" s="53">
        <v>4.19E-2</v>
      </c>
      <c r="G8" s="53">
        <f>11.4%*0.371</f>
        <v>4.2293999999999998E-2</v>
      </c>
      <c r="H8" s="53">
        <v>4.7899999999999998E-2</v>
      </c>
      <c r="I8" s="53">
        <v>5.0500000000000003E-2</v>
      </c>
      <c r="J8" s="53">
        <v>5.8200000000000002E-2</v>
      </c>
      <c r="K8" s="53">
        <v>5.8200000000000002E-2</v>
      </c>
      <c r="L8" s="53">
        <f>6.46%</f>
        <v>6.4600000000000005E-2</v>
      </c>
      <c r="M8" s="53">
        <v>6.6400000000000001E-2</v>
      </c>
      <c r="N8" s="53">
        <f>17.1%*0.371</f>
        <v>6.3440999999999997E-2</v>
      </c>
      <c r="O8" s="53">
        <f>17.9%*0.371</f>
        <v>6.6408999999999996E-2</v>
      </c>
      <c r="P8" s="53">
        <f>24.4%*0.371</f>
        <v>9.0523999999999993E-2</v>
      </c>
      <c r="Q8" s="53">
        <f>26.5%*0.371</f>
        <v>9.8315E-2</v>
      </c>
      <c r="R8" s="53">
        <f>0.371*0.318</f>
        <v>0.117978</v>
      </c>
      <c r="S8" s="53">
        <f>0.371*33%</f>
        <v>0.12243000000000001</v>
      </c>
    </row>
    <row r="9" spans="1:19" ht="15.75">
      <c r="A9" s="50" t="s">
        <v>353</v>
      </c>
      <c r="B9" s="54">
        <f t="shared" ref="B9:S9" si="0">B7+B8</f>
        <v>0.1527</v>
      </c>
      <c r="C9" s="54">
        <f t="shared" si="0"/>
        <v>0.16220000000000001</v>
      </c>
      <c r="D9" s="54">
        <f t="shared" si="0"/>
        <v>0.16849999999999998</v>
      </c>
      <c r="E9" s="54">
        <f t="shared" si="0"/>
        <v>0.14130000000000001</v>
      </c>
      <c r="F9" s="54">
        <f t="shared" si="0"/>
        <v>0.15190000000000001</v>
      </c>
      <c r="G9" s="54">
        <f t="shared" si="0"/>
        <v>0.150894</v>
      </c>
      <c r="H9" s="54">
        <f t="shared" si="0"/>
        <v>0.15529999999999999</v>
      </c>
      <c r="I9" s="54">
        <f t="shared" si="0"/>
        <v>0.16260000000000002</v>
      </c>
      <c r="J9" s="54">
        <f t="shared" si="0"/>
        <v>0.17180000000000001</v>
      </c>
      <c r="K9" s="54">
        <f t="shared" si="0"/>
        <v>0.17049999999999998</v>
      </c>
      <c r="L9" s="54">
        <f t="shared" si="0"/>
        <v>0.17960000000000001</v>
      </c>
      <c r="M9" s="54">
        <f t="shared" si="0"/>
        <v>0.1857</v>
      </c>
      <c r="N9" s="54">
        <f t="shared" si="0"/>
        <v>0.18454100000000001</v>
      </c>
      <c r="O9" s="54">
        <f t="shared" si="0"/>
        <v>0.19100899999999998</v>
      </c>
      <c r="P9" s="53">
        <f t="shared" si="0"/>
        <v>0.21702399999999999</v>
      </c>
      <c r="Q9" s="53">
        <f t="shared" si="0"/>
        <v>0.22649555477702543</v>
      </c>
      <c r="R9" s="53">
        <f t="shared" si="0"/>
        <v>0.24957799999999999</v>
      </c>
      <c r="S9" s="53">
        <f t="shared" si="0"/>
        <v>0.25392999999999999</v>
      </c>
    </row>
    <row r="10" spans="1:19" ht="15.75">
      <c r="A10" s="50"/>
      <c r="B10" s="54"/>
      <c r="C10" s="54"/>
      <c r="D10" s="54"/>
      <c r="E10" s="54"/>
      <c r="F10" s="54"/>
      <c r="G10" s="54"/>
      <c r="H10" s="54"/>
      <c r="I10" s="54"/>
      <c r="J10" s="54"/>
      <c r="K10" s="53"/>
      <c r="M10" s="53"/>
      <c r="P10" s="53"/>
      <c r="Q10" s="53"/>
      <c r="S10" s="53"/>
    </row>
    <row r="11" spans="1:19" ht="15.75">
      <c r="A11" s="50" t="s">
        <v>354</v>
      </c>
      <c r="B11" s="53">
        <v>6.8699999999999997E-2</v>
      </c>
      <c r="C11" s="53">
        <v>6.93E-2</v>
      </c>
      <c r="D11" s="53">
        <v>6.9400000000000003E-2</v>
      </c>
      <c r="E11" s="53">
        <f>'[2]Multiyear source data'!P58</f>
        <v>7.0426640156244308E-2</v>
      </c>
      <c r="F11" s="53">
        <v>7.0699999999999999E-2</v>
      </c>
      <c r="G11" s="53">
        <v>7.1099999999999997E-2</v>
      </c>
      <c r="H11" s="53">
        <v>7.2599999999999998E-2</v>
      </c>
      <c r="I11" s="53">
        <v>7.4200000000000002E-2</v>
      </c>
      <c r="J11" s="53">
        <f>'[3]raw data worksheet'!M57</f>
        <v>7.3301571974767304E-2</v>
      </c>
      <c r="K11" s="53">
        <v>7.51E-2</v>
      </c>
      <c r="L11" s="53">
        <v>7.5700000000000003E-2</v>
      </c>
      <c r="M11" s="53">
        <f>7.61%</f>
        <v>7.6100000000000001E-2</v>
      </c>
      <c r="N11" s="53">
        <v>7.6499999999999999E-2</v>
      </c>
      <c r="O11" s="53">
        <v>7.6499999999999999E-2</v>
      </c>
      <c r="P11" s="53">
        <v>7.7399999999999997E-2</v>
      </c>
      <c r="Q11" s="53">
        <f>'[1]WGHT calcs --not for publicatio'!C60</f>
        <v>7.7460801386271427E-2</v>
      </c>
      <c r="R11" s="53">
        <v>7.7799999999999994E-2</v>
      </c>
      <c r="S11" s="53">
        <v>7.7700000000000005E-2</v>
      </c>
    </row>
    <row r="12" spans="1:19" ht="15.75">
      <c r="K12" s="53"/>
      <c r="M12" s="53"/>
      <c r="P12" s="53"/>
      <c r="Q12" s="53"/>
      <c r="S12" s="53"/>
    </row>
    <row r="13" spans="1:19" ht="15.75">
      <c r="A13" s="50" t="s">
        <v>355</v>
      </c>
      <c r="B13" s="53">
        <f>B7-B11</f>
        <v>3.3299999999999996E-2</v>
      </c>
      <c r="C13" s="53">
        <f t="shared" ref="C13:K13" si="1">C7-C11</f>
        <v>3.8099999999999995E-2</v>
      </c>
      <c r="D13" s="53">
        <f t="shared" si="1"/>
        <v>3.9999999999999994E-2</v>
      </c>
      <c r="E13" s="53">
        <f t="shared" si="1"/>
        <v>4.0973359843755691E-2</v>
      </c>
      <c r="F13" s="53">
        <f t="shared" si="1"/>
        <v>3.9300000000000002E-2</v>
      </c>
      <c r="G13" s="53">
        <f t="shared" si="1"/>
        <v>3.7500000000000006E-2</v>
      </c>
      <c r="H13" s="53">
        <f t="shared" si="1"/>
        <v>3.4799999999999998E-2</v>
      </c>
      <c r="I13" s="53">
        <f t="shared" si="1"/>
        <v>3.7900000000000003E-2</v>
      </c>
      <c r="J13" s="53">
        <f t="shared" si="1"/>
        <v>4.0298428025232702E-2</v>
      </c>
      <c r="K13" s="53">
        <f t="shared" si="1"/>
        <v>3.7199999999999997E-2</v>
      </c>
      <c r="L13" s="53">
        <f>L7-L11</f>
        <v>3.9300000000000002E-2</v>
      </c>
      <c r="M13" s="53">
        <f>M7-M11</f>
        <v>4.3200000000000002E-2</v>
      </c>
      <c r="N13" s="53">
        <f>N7-N11</f>
        <v>4.4600000000000001E-2</v>
      </c>
      <c r="O13" s="53">
        <f t="shared" ref="O13" si="2">O7-O11</f>
        <v>4.8100000000000004E-2</v>
      </c>
      <c r="P13" s="53">
        <f>P7-P11</f>
        <v>4.9100000000000005E-2</v>
      </c>
      <c r="Q13" s="53">
        <f>Q7-Q11</f>
        <v>5.0719753390754019E-2</v>
      </c>
      <c r="R13" s="53">
        <f t="shared" ref="R13:S13" si="3">R7-R11</f>
        <v>5.3800000000000001E-2</v>
      </c>
      <c r="S13" s="53">
        <f t="shared" si="3"/>
        <v>5.3800000000000001E-2</v>
      </c>
    </row>
    <row r="14" spans="1:19" ht="15.75">
      <c r="A14" s="50"/>
      <c r="B14" s="53"/>
      <c r="C14" s="53"/>
      <c r="D14" s="53"/>
      <c r="E14" s="53"/>
      <c r="F14" s="53"/>
      <c r="G14" s="53"/>
      <c r="H14" s="53"/>
      <c r="I14" s="53"/>
      <c r="J14" s="53"/>
    </row>
    <row r="15" spans="1:19">
      <c r="A15" t="s">
        <v>356</v>
      </c>
      <c r="J15" s="39"/>
    </row>
    <row r="16" spans="1:19">
      <c r="A16" t="s">
        <v>357</v>
      </c>
    </row>
    <row r="17" spans="1:15">
      <c r="A17" t="s">
        <v>358</v>
      </c>
      <c r="O17" s="55"/>
    </row>
    <row r="19" spans="1:15">
      <c r="A19" t="s">
        <v>359</v>
      </c>
    </row>
    <row r="20" spans="1:15" ht="15" hidden="1" customHeight="1">
      <c r="A20" t="s">
        <v>360</v>
      </c>
    </row>
    <row r="21" spans="1:15" ht="15" hidden="1" customHeight="1">
      <c r="A21" t="s">
        <v>361</v>
      </c>
    </row>
    <row r="22" spans="1:15" ht="15" hidden="1" customHeight="1">
      <c r="A22" t="s">
        <v>362</v>
      </c>
    </row>
    <row r="23" spans="1:15" ht="15" hidden="1" customHeight="1">
      <c r="A23" t="s">
        <v>363</v>
      </c>
    </row>
    <row r="24" spans="1:15" ht="15" hidden="1" customHeight="1">
      <c r="A24" t="s">
        <v>364</v>
      </c>
    </row>
    <row r="25" spans="1:15" ht="15" hidden="1" customHeight="1">
      <c r="A25" t="s">
        <v>365</v>
      </c>
    </row>
    <row r="26" spans="1:15" ht="15" hidden="1" customHeight="1">
      <c r="A26" t="s">
        <v>366</v>
      </c>
    </row>
    <row r="27" spans="1:15" ht="15" hidden="1" customHeight="1">
      <c r="A27" t="s">
        <v>367</v>
      </c>
    </row>
    <row r="28" spans="1:15" ht="15" hidden="1" customHeight="1">
      <c r="A28" t="s">
        <v>368</v>
      </c>
    </row>
    <row r="29" spans="1:15" ht="15" hidden="1" customHeight="1">
      <c r="A29" t="s">
        <v>369</v>
      </c>
    </row>
    <row r="30" spans="1:15" ht="15" hidden="1" customHeight="1">
      <c r="A30" t="s">
        <v>370</v>
      </c>
    </row>
    <row r="31" spans="1:15">
      <c r="A31" t="s">
        <v>371</v>
      </c>
      <c r="N31" s="55"/>
    </row>
    <row r="33" spans="1:10">
      <c r="A33" t="s">
        <v>372</v>
      </c>
    </row>
    <row r="34" spans="1:10">
      <c r="B34" s="17"/>
      <c r="C34" s="17"/>
    </row>
    <row r="35" spans="1:10">
      <c r="B35" s="17"/>
    </row>
    <row r="36" spans="1:10" ht="15.75">
      <c r="B36" s="50"/>
      <c r="C36" s="50"/>
      <c r="D36" s="50"/>
      <c r="E36" s="50"/>
      <c r="F36" s="50"/>
      <c r="G36" s="50"/>
      <c r="H36" s="50"/>
      <c r="I36" s="50"/>
      <c r="J36" s="50"/>
    </row>
    <row r="37" spans="1:10" ht="15.75">
      <c r="B37" s="53"/>
      <c r="C37" s="53"/>
      <c r="D37" s="53"/>
      <c r="E37" s="53"/>
      <c r="F37" s="53"/>
      <c r="G37" s="53"/>
      <c r="H37" s="53"/>
      <c r="I37" s="53"/>
      <c r="J37" s="53"/>
    </row>
    <row r="38" spans="1:10" ht="15.75">
      <c r="B38" s="53"/>
      <c r="C38" s="53"/>
      <c r="D38" s="53"/>
      <c r="E38" s="53"/>
      <c r="F38" s="53"/>
      <c r="G38" s="53"/>
      <c r="H38" s="53"/>
      <c r="I38" s="53"/>
      <c r="J38" s="53"/>
    </row>
  </sheetData>
  <mergeCells count="1">
    <mergeCell ref="A3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BE9E3-F568-4075-98C0-8BC8F8D5D5A8}">
  <dimension ref="A1:K66"/>
  <sheetViews>
    <sheetView workbookViewId="0">
      <selection activeCell="C50" sqref="A1:E59"/>
    </sheetView>
  </sheetViews>
  <sheetFormatPr defaultColWidth="8.85546875" defaultRowHeight="15"/>
  <cols>
    <col min="1" max="1" width="5" style="39" customWidth="1"/>
    <col min="2" max="2" width="25.140625" customWidth="1"/>
    <col min="3" max="3" width="14.85546875" customWidth="1"/>
    <col min="4" max="4" width="13.5703125" customWidth="1"/>
    <col min="5" max="5" width="24.42578125" customWidth="1"/>
    <col min="6" max="6" width="18" customWidth="1"/>
    <col min="8" max="8" width="11" customWidth="1"/>
  </cols>
  <sheetData>
    <row r="1" spans="1:10" ht="15.75">
      <c r="A1" s="84" t="s">
        <v>373</v>
      </c>
      <c r="B1" s="84"/>
      <c r="C1" s="84"/>
      <c r="D1" s="84"/>
      <c r="E1" s="84"/>
    </row>
    <row r="2" spans="1:10" ht="15.75">
      <c r="A2" s="84" t="s">
        <v>374</v>
      </c>
      <c r="B2" s="84"/>
      <c r="C2" s="84"/>
      <c r="D2" s="84"/>
      <c r="E2" s="84"/>
    </row>
    <row r="3" spans="1:10" ht="15.75">
      <c r="A3" s="56"/>
      <c r="B3" s="57"/>
      <c r="C3" s="57" t="s">
        <v>375</v>
      </c>
      <c r="D3" s="57"/>
      <c r="E3" s="57"/>
    </row>
    <row r="4" spans="1:10">
      <c r="C4" s="39">
        <v>2022</v>
      </c>
      <c r="D4" s="39">
        <v>2022</v>
      </c>
      <c r="E4" s="39">
        <v>2022</v>
      </c>
    </row>
    <row r="5" spans="1:10">
      <c r="C5" s="39" t="s">
        <v>376</v>
      </c>
      <c r="D5" s="39" t="s">
        <v>377</v>
      </c>
      <c r="E5" s="39" t="s">
        <v>378</v>
      </c>
    </row>
    <row r="6" spans="1:10">
      <c r="C6" s="39" t="s">
        <v>379</v>
      </c>
      <c r="D6" s="39" t="s">
        <v>64</v>
      </c>
      <c r="E6" s="39" t="s">
        <v>380</v>
      </c>
    </row>
    <row r="7" spans="1:10">
      <c r="C7" s="58" t="s">
        <v>381</v>
      </c>
      <c r="D7" s="58" t="s">
        <v>381</v>
      </c>
      <c r="E7" s="58" t="s">
        <v>381</v>
      </c>
    </row>
    <row r="8" spans="1:10">
      <c r="A8" s="39">
        <v>1</v>
      </c>
      <c r="B8" s="59" t="s">
        <v>382</v>
      </c>
      <c r="C8" s="60">
        <f>'[4]WGHT calcs --not for publicatio'!E19</f>
        <v>0.22649412423055398</v>
      </c>
      <c r="D8" s="60">
        <f>'[4]TABLE 1'!S8</f>
        <v>0.12243000000000001</v>
      </c>
      <c r="E8" s="61">
        <f t="shared" ref="E8:E59" si="0">C8+D8</f>
        <v>0.34892412423055397</v>
      </c>
      <c r="H8" s="17"/>
      <c r="J8" s="17"/>
    </row>
    <row r="9" spans="1:10">
      <c r="A9" s="39">
        <v>2</v>
      </c>
      <c r="B9" s="59" t="s">
        <v>316</v>
      </c>
      <c r="C9" s="60">
        <f>'[4]WGHT calcs --not for publicatio'!E54</f>
        <v>0.20654602686066034</v>
      </c>
      <c r="D9" s="60">
        <f t="shared" ref="D9:D59" si="1">D8</f>
        <v>0.12243000000000001</v>
      </c>
      <c r="E9" s="61">
        <f t="shared" si="0"/>
        <v>0.32897602686066035</v>
      </c>
      <c r="H9" s="17"/>
      <c r="J9" s="17"/>
    </row>
    <row r="10" spans="1:10">
      <c r="A10" s="39">
        <v>3</v>
      </c>
      <c r="B10" s="59" t="s">
        <v>29</v>
      </c>
      <c r="C10" s="60">
        <f>'[4]WGHT calcs --not for publicatio'!E9</f>
        <v>0.19985070649132627</v>
      </c>
      <c r="D10" s="60">
        <f t="shared" si="1"/>
        <v>0.12243000000000001</v>
      </c>
      <c r="E10" s="61">
        <f t="shared" si="0"/>
        <v>0.32228070649132629</v>
      </c>
      <c r="H10" s="17"/>
      <c r="J10" s="17"/>
    </row>
    <row r="11" spans="1:10">
      <c r="A11" s="39">
        <v>4</v>
      </c>
      <c r="B11" s="59" t="s">
        <v>185</v>
      </c>
      <c r="C11" s="60">
        <f>'[4]WGHT calcs --not for publicatio'!E33</f>
        <v>0.1948950755456072</v>
      </c>
      <c r="D11" s="60">
        <f t="shared" si="1"/>
        <v>0.12243000000000001</v>
      </c>
      <c r="E11" s="61">
        <f t="shared" si="0"/>
        <v>0.31732507554560718</v>
      </c>
      <c r="H11" s="17"/>
      <c r="J11" s="17"/>
    </row>
    <row r="12" spans="1:10">
      <c r="A12" s="39">
        <v>5</v>
      </c>
      <c r="B12" s="59" t="s">
        <v>216</v>
      </c>
      <c r="C12" s="60">
        <f>'[4]WGHT calcs --not for publicatio'!E38</f>
        <v>0.18881978175713487</v>
      </c>
      <c r="D12" s="60">
        <f t="shared" si="1"/>
        <v>0.12243000000000001</v>
      </c>
      <c r="E12" s="61">
        <f t="shared" si="0"/>
        <v>0.31124978175713491</v>
      </c>
      <c r="H12" s="17"/>
      <c r="J12" s="17"/>
    </row>
    <row r="13" spans="1:10">
      <c r="A13" s="39">
        <v>6</v>
      </c>
      <c r="B13" s="59" t="s">
        <v>124</v>
      </c>
      <c r="C13" s="60">
        <f>'[4]WGHT calcs --not for publicatio'!E22</f>
        <v>0.18038946905428091</v>
      </c>
      <c r="D13" s="60">
        <f t="shared" si="1"/>
        <v>0.12243000000000001</v>
      </c>
      <c r="E13" s="61">
        <f t="shared" si="0"/>
        <v>0.30281946905428092</v>
      </c>
      <c r="H13" s="17"/>
      <c r="J13" s="17"/>
    </row>
    <row r="14" spans="1:10">
      <c r="A14" s="39">
        <v>7</v>
      </c>
      <c r="B14" s="59" t="s">
        <v>263</v>
      </c>
      <c r="C14" s="60">
        <f>'[4]WGHT calcs --not for publicatio'!E44</f>
        <v>0.16616675993284835</v>
      </c>
      <c r="D14" s="60">
        <f t="shared" si="1"/>
        <v>0.12243000000000001</v>
      </c>
      <c r="E14" s="61">
        <f t="shared" si="0"/>
        <v>0.28859675993284839</v>
      </c>
      <c r="H14" s="17"/>
      <c r="J14" s="17"/>
    </row>
    <row r="15" spans="1:10">
      <c r="A15" s="39">
        <v>8</v>
      </c>
      <c r="B15" s="59" t="s">
        <v>298</v>
      </c>
      <c r="C15" s="60">
        <f>'[4]WGHT calcs --not for publicatio'!E51</f>
        <v>0.1614829322887521</v>
      </c>
      <c r="D15" s="60">
        <f t="shared" si="1"/>
        <v>0.12243000000000001</v>
      </c>
      <c r="E15" s="61">
        <f t="shared" si="0"/>
        <v>0.28391293228875214</v>
      </c>
      <c r="H15" s="17"/>
      <c r="J15" s="17"/>
    </row>
    <row r="16" spans="1:10">
      <c r="A16" s="39">
        <v>9</v>
      </c>
      <c r="B16" s="59" t="s">
        <v>151</v>
      </c>
      <c r="C16" s="60">
        <f>'[4]WGHT calcs --not for publicatio'!E26</f>
        <v>0.15583100167879127</v>
      </c>
      <c r="D16" s="60">
        <f t="shared" si="1"/>
        <v>0.12243000000000001</v>
      </c>
      <c r="E16" s="61">
        <f t="shared" si="0"/>
        <v>0.27826100167879131</v>
      </c>
      <c r="H16" s="17"/>
      <c r="J16" s="17"/>
    </row>
    <row r="17" spans="1:11">
      <c r="A17" s="39">
        <v>10</v>
      </c>
      <c r="B17" s="59" t="s">
        <v>270</v>
      </c>
      <c r="C17" s="60">
        <f>'[4]WGHT calcs --not for publicatio'!E46</f>
        <v>0.15497481813094571</v>
      </c>
      <c r="D17" s="60">
        <f t="shared" si="1"/>
        <v>0.12243000000000001</v>
      </c>
      <c r="E17" s="61">
        <f t="shared" si="0"/>
        <v>0.27740481813094575</v>
      </c>
      <c r="H17" s="17"/>
      <c r="J17" s="17"/>
    </row>
    <row r="18" spans="1:11">
      <c r="A18" s="39">
        <v>11</v>
      </c>
      <c r="B18" s="59" t="s">
        <v>238</v>
      </c>
      <c r="C18" s="60">
        <f>'[4]WGHT calcs --not for publicatio'!E40</f>
        <v>0.15429910464465585</v>
      </c>
      <c r="D18" s="60">
        <f t="shared" si="1"/>
        <v>0.12243000000000001</v>
      </c>
      <c r="E18" s="61">
        <f t="shared" si="0"/>
        <v>0.27672910464465583</v>
      </c>
      <c r="H18" s="17"/>
      <c r="J18" s="17"/>
    </row>
    <row r="19" spans="1:11">
      <c r="A19" s="39">
        <v>12</v>
      </c>
      <c r="B19" s="59" t="s">
        <v>175</v>
      </c>
      <c r="C19" s="60">
        <f>'[4]WGHT calcs --not for publicatio'!E31</f>
        <v>0.15037500000000001</v>
      </c>
      <c r="D19" s="60">
        <f t="shared" si="1"/>
        <v>0.12243000000000001</v>
      </c>
      <c r="E19" s="61">
        <f t="shared" si="0"/>
        <v>0.27280500000000002</v>
      </c>
      <c r="H19" s="17"/>
      <c r="J19" s="17"/>
    </row>
    <row r="20" spans="1:11">
      <c r="A20" s="39">
        <v>13</v>
      </c>
      <c r="B20" s="59" t="s">
        <v>83</v>
      </c>
      <c r="C20" s="60">
        <f>'[4]WGHT calcs --not for publicatio'!E15</f>
        <v>0.15019194180190265</v>
      </c>
      <c r="D20" s="60">
        <f t="shared" si="1"/>
        <v>0.12243000000000001</v>
      </c>
      <c r="E20" s="61">
        <f t="shared" si="0"/>
        <v>0.27262194180190269</v>
      </c>
      <c r="H20" s="17"/>
      <c r="J20" s="17"/>
      <c r="K20" s="38"/>
    </row>
    <row r="21" spans="1:11">
      <c r="A21" s="39">
        <v>14</v>
      </c>
      <c r="B21" s="59" t="s">
        <v>280</v>
      </c>
      <c r="C21" s="60">
        <f>'[4]WGHT calcs --not for publicatio'!E48</f>
        <v>0.1451152963066592</v>
      </c>
      <c r="D21" s="60">
        <f t="shared" si="1"/>
        <v>0.12243000000000001</v>
      </c>
      <c r="E21" s="61">
        <f t="shared" si="0"/>
        <v>0.26754529630665924</v>
      </c>
      <c r="H21" s="17"/>
      <c r="J21" s="17"/>
    </row>
    <row r="22" spans="1:11">
      <c r="A22" s="39">
        <v>15</v>
      </c>
      <c r="B22" s="59" t="s">
        <v>39</v>
      </c>
      <c r="C22" s="60">
        <f>'[4]WGHT calcs --not for publicatio'!E10</f>
        <v>0.14424286635142697</v>
      </c>
      <c r="D22" s="60">
        <f t="shared" si="1"/>
        <v>0.12243000000000001</v>
      </c>
      <c r="E22" s="61">
        <f t="shared" si="0"/>
        <v>0.26667286635142695</v>
      </c>
      <c r="H22" s="17"/>
      <c r="J22" s="17"/>
    </row>
    <row r="23" spans="1:11">
      <c r="A23" s="39">
        <v>16</v>
      </c>
      <c r="B23" s="59" t="s">
        <v>12</v>
      </c>
      <c r="C23" s="60">
        <f>'[4]WGHT calcs --not for publicatio'!E7</f>
        <v>0.14274051482932287</v>
      </c>
      <c r="D23" s="60">
        <f t="shared" si="1"/>
        <v>0.12243000000000001</v>
      </c>
      <c r="E23" s="61">
        <f t="shared" si="0"/>
        <v>0.26517051482932286</v>
      </c>
      <c r="H23" s="17"/>
      <c r="J23" s="17"/>
    </row>
    <row r="24" spans="1:11">
      <c r="A24" s="39">
        <v>17</v>
      </c>
      <c r="B24" s="59" t="s">
        <v>252</v>
      </c>
      <c r="C24" s="60">
        <f>'[4]WGHT calcs --not for publicatio'!E42</f>
        <v>0.13859192501398993</v>
      </c>
      <c r="D24" s="60">
        <f t="shared" si="1"/>
        <v>0.12243000000000001</v>
      </c>
      <c r="E24" s="61">
        <f t="shared" si="0"/>
        <v>0.26102192501398991</v>
      </c>
      <c r="H24" s="17"/>
      <c r="J24" s="17"/>
    </row>
    <row r="25" spans="1:11">
      <c r="A25" s="39">
        <v>18</v>
      </c>
      <c r="B25" s="62" t="s">
        <v>383</v>
      </c>
      <c r="C25" s="60">
        <f>'[4]WGHT calcs --not for publicatio'!E45</f>
        <v>0.13773302725237829</v>
      </c>
      <c r="D25" s="60">
        <f t="shared" si="1"/>
        <v>0.12243000000000001</v>
      </c>
      <c r="E25" s="61">
        <f t="shared" si="0"/>
        <v>0.26016302725237828</v>
      </c>
      <c r="H25" s="17"/>
      <c r="J25" s="17"/>
    </row>
    <row r="26" spans="1:11">
      <c r="A26" s="39">
        <v>19</v>
      </c>
      <c r="B26" s="59" t="s">
        <v>287</v>
      </c>
      <c r="C26" s="60">
        <f>'[4]WGHT calcs --not for publicatio'!E49</f>
        <v>0.13696978175713487</v>
      </c>
      <c r="D26" s="60">
        <f t="shared" si="1"/>
        <v>0.12243000000000001</v>
      </c>
      <c r="E26" s="61">
        <f t="shared" si="0"/>
        <v>0.25939978175713485</v>
      </c>
      <c r="H26" s="17"/>
      <c r="J26" s="17"/>
      <c r="K26" s="38"/>
    </row>
    <row r="27" spans="1:11">
      <c r="A27" s="39">
        <v>20</v>
      </c>
      <c r="B27" s="59" t="s">
        <v>56</v>
      </c>
      <c r="C27" s="60">
        <f>'[4]WGHT calcs --not for publicatio'!E11</f>
        <v>0.13096166648013427</v>
      </c>
      <c r="D27" s="60">
        <f t="shared" si="1"/>
        <v>0.12243000000000001</v>
      </c>
      <c r="E27" s="61">
        <f t="shared" si="0"/>
        <v>0.25339166648013428</v>
      </c>
      <c r="H27" s="17"/>
      <c r="J27" s="17"/>
    </row>
    <row r="28" spans="1:11">
      <c r="A28" s="39">
        <v>21</v>
      </c>
      <c r="B28" s="59" t="s">
        <v>273</v>
      </c>
      <c r="C28" s="60">
        <f>'[4]WGHT calcs --not for publicatio'!E47</f>
        <v>0.12998120542809175</v>
      </c>
      <c r="D28" s="60">
        <f t="shared" si="1"/>
        <v>0.12243000000000001</v>
      </c>
      <c r="E28" s="61">
        <f t="shared" si="0"/>
        <v>0.25241120542809176</v>
      </c>
      <c r="H28" s="17"/>
      <c r="J28" s="17"/>
    </row>
    <row r="29" spans="1:11">
      <c r="A29" s="39">
        <v>22</v>
      </c>
      <c r="B29" s="59" t="s">
        <v>21</v>
      </c>
      <c r="C29" s="60">
        <f>'[4]WGHT calcs --not for publicatio'!E8</f>
        <v>0.12659597090095132</v>
      </c>
      <c r="D29" s="60">
        <f t="shared" si="1"/>
        <v>0.12243000000000001</v>
      </c>
      <c r="E29" s="61">
        <f t="shared" si="0"/>
        <v>0.24902597090095133</v>
      </c>
      <c r="H29" s="17"/>
      <c r="J29" s="17"/>
    </row>
    <row r="30" spans="1:11">
      <c r="A30" s="39">
        <v>23</v>
      </c>
      <c r="B30" s="59" t="s">
        <v>207</v>
      </c>
      <c r="C30" s="60">
        <f>'[4]WGHT calcs --not for publicatio'!E37</f>
        <v>0.12323878757694462</v>
      </c>
      <c r="D30" s="60">
        <f t="shared" si="1"/>
        <v>0.12243000000000001</v>
      </c>
      <c r="E30" s="61">
        <f t="shared" si="0"/>
        <v>0.24566878757694463</v>
      </c>
      <c r="H30" s="17"/>
      <c r="J30" s="17"/>
    </row>
    <row r="31" spans="1:11">
      <c r="A31" s="39">
        <v>24</v>
      </c>
      <c r="B31" s="59" t="s">
        <v>88</v>
      </c>
      <c r="C31" s="60">
        <f>'[4]WGHT calcs --not for publicatio'!E16</f>
        <v>0.12276161163961949</v>
      </c>
      <c r="D31" s="60">
        <f t="shared" si="1"/>
        <v>0.12243000000000001</v>
      </c>
      <c r="E31" s="61">
        <f t="shared" si="0"/>
        <v>0.2451916116396195</v>
      </c>
      <c r="H31" s="17"/>
      <c r="J31" s="17"/>
    </row>
    <row r="32" spans="1:11">
      <c r="A32" s="39">
        <v>25</v>
      </c>
      <c r="B32" s="59" t="s">
        <v>79</v>
      </c>
      <c r="C32" s="60">
        <f>'[4]WGHT calcs --not for publicatio'!E14</f>
        <v>0.121264689423615</v>
      </c>
      <c r="D32" s="60">
        <f t="shared" si="1"/>
        <v>0.12243000000000001</v>
      </c>
      <c r="E32" s="61">
        <f t="shared" si="0"/>
        <v>0.243694689423615</v>
      </c>
      <c r="H32" s="17"/>
      <c r="J32" s="17"/>
    </row>
    <row r="33" spans="1:10">
      <c r="A33" s="39">
        <v>26</v>
      </c>
      <c r="B33" s="59" t="s">
        <v>384</v>
      </c>
      <c r="C33" s="60">
        <f>'[4]WGHT calcs --not for publicatio'!E50</f>
        <v>0.11892571852266368</v>
      </c>
      <c r="D33" s="60">
        <f t="shared" si="1"/>
        <v>0.12243000000000001</v>
      </c>
      <c r="E33" s="61">
        <f t="shared" si="0"/>
        <v>0.24135571852266369</v>
      </c>
      <c r="H33" s="17"/>
      <c r="J33" s="17"/>
    </row>
    <row r="34" spans="1:10">
      <c r="A34" s="39">
        <v>27</v>
      </c>
      <c r="B34" s="59" t="s">
        <v>111</v>
      </c>
      <c r="C34" s="60">
        <f>'[4]WGHT calcs --not for publicatio'!E20</f>
        <v>0.11376617713989927</v>
      </c>
      <c r="D34" s="60">
        <f t="shared" si="1"/>
        <v>0.12243000000000001</v>
      </c>
      <c r="E34" s="61">
        <f t="shared" si="0"/>
        <v>0.23619617713989927</v>
      </c>
      <c r="H34" s="17"/>
      <c r="J34" s="17"/>
    </row>
    <row r="35" spans="1:10">
      <c r="A35" s="39">
        <v>28</v>
      </c>
      <c r="B35" s="59" t="s">
        <v>128</v>
      </c>
      <c r="C35" s="60">
        <f>'[4]WGHT calcs --not for publicatio'!E23</f>
        <v>0.11262227196418578</v>
      </c>
      <c r="D35" s="60">
        <f t="shared" si="1"/>
        <v>0.12243000000000001</v>
      </c>
      <c r="E35" s="61">
        <f t="shared" si="0"/>
        <v>0.23505227196418579</v>
      </c>
      <c r="H35" s="17"/>
      <c r="J35" s="17"/>
    </row>
    <row r="36" spans="1:10">
      <c r="A36" s="39">
        <v>29</v>
      </c>
      <c r="B36" s="59" t="s">
        <v>6</v>
      </c>
      <c r="C36" s="60">
        <f>'[4]WGHT calcs --not for publicatio'!E6</f>
        <v>0.11204252937884723</v>
      </c>
      <c r="D36" s="60">
        <f t="shared" si="1"/>
        <v>0.12243000000000001</v>
      </c>
      <c r="E36" s="61">
        <f t="shared" si="0"/>
        <v>0.23447252937884724</v>
      </c>
      <c r="H36" s="17"/>
      <c r="J36" s="17"/>
    </row>
    <row r="37" spans="1:10">
      <c r="A37" s="39">
        <v>30</v>
      </c>
      <c r="B37" s="59" t="s">
        <v>325</v>
      </c>
      <c r="C37" s="60">
        <f>'[4]WGHT calcs --not for publicatio'!E55</f>
        <v>0.10744264129826525</v>
      </c>
      <c r="D37" s="60">
        <f t="shared" si="1"/>
        <v>0.12243000000000001</v>
      </c>
      <c r="E37" s="61">
        <f t="shared" si="0"/>
        <v>0.22987264129826526</v>
      </c>
      <c r="H37" s="17"/>
      <c r="J37" s="17"/>
    </row>
    <row r="38" spans="1:10">
      <c r="A38" s="39">
        <v>31</v>
      </c>
      <c r="B38" s="59" t="s">
        <v>157</v>
      </c>
      <c r="C38" s="60">
        <f>'[4]WGHT calcs --not for publicatio'!E27</f>
        <v>0.10446978175713487</v>
      </c>
      <c r="D38" s="60">
        <f t="shared" si="1"/>
        <v>0.12243000000000001</v>
      </c>
      <c r="E38" s="61">
        <f t="shared" si="0"/>
        <v>0.22689978175713488</v>
      </c>
      <c r="H38" s="17"/>
      <c r="J38" s="17"/>
    </row>
    <row r="39" spans="1:10">
      <c r="A39" s="39">
        <v>32</v>
      </c>
      <c r="B39" s="59" t="s">
        <v>167</v>
      </c>
      <c r="C39" s="60">
        <f>'[4]WGHT calcs --not for publicatio'!E29</f>
        <v>0.10356267487409065</v>
      </c>
      <c r="D39" s="60">
        <f t="shared" si="1"/>
        <v>0.12243000000000001</v>
      </c>
      <c r="E39" s="61">
        <f t="shared" si="0"/>
        <v>0.22599267487409067</v>
      </c>
      <c r="H39" s="17"/>
      <c r="J39" s="17"/>
    </row>
    <row r="40" spans="1:10">
      <c r="A40" s="39">
        <v>33</v>
      </c>
      <c r="B40" s="59" t="s">
        <v>137</v>
      </c>
      <c r="C40" s="60">
        <f>'[4]WGHT calcs --not for publicatio'!E24</f>
        <v>0.10137185226636822</v>
      </c>
      <c r="D40" s="60">
        <f t="shared" si="1"/>
        <v>0.12243000000000001</v>
      </c>
      <c r="E40" s="61">
        <f t="shared" si="0"/>
        <v>0.22380185226636823</v>
      </c>
      <c r="H40" s="17"/>
      <c r="J40" s="17"/>
    </row>
    <row r="41" spans="1:10">
      <c r="A41" s="39">
        <v>34</v>
      </c>
      <c r="B41" s="59" t="s">
        <v>172</v>
      </c>
      <c r="C41" s="60">
        <f>'[4]WGHT calcs --not for publicatio'!E30</f>
        <v>9.9378847229994405E-2</v>
      </c>
      <c r="D41" s="60">
        <f t="shared" si="1"/>
        <v>0.12243000000000001</v>
      </c>
      <c r="E41" s="61">
        <f t="shared" si="0"/>
        <v>0.22180884722999442</v>
      </c>
      <c r="H41" s="17"/>
      <c r="J41" s="17"/>
    </row>
    <row r="42" spans="1:10">
      <c r="A42" s="39">
        <v>35</v>
      </c>
      <c r="B42" s="59" t="s">
        <v>119</v>
      </c>
      <c r="C42" s="60">
        <f>'[4]WGHT calcs --not for publicatio'!E21</f>
        <v>9.881925013989927E-2</v>
      </c>
      <c r="D42" s="60">
        <f t="shared" si="1"/>
        <v>0.12243000000000001</v>
      </c>
      <c r="E42" s="61">
        <f t="shared" si="0"/>
        <v>0.22124925013989927</v>
      </c>
      <c r="H42" s="17"/>
      <c r="J42" s="17"/>
    </row>
    <row r="43" spans="1:10" ht="15" customHeight="1">
      <c r="A43" s="39">
        <v>36</v>
      </c>
      <c r="B43" s="59" t="s">
        <v>160</v>
      </c>
      <c r="C43" s="60">
        <f>'[4]WGHT calcs --not for publicatio'!E28</f>
        <v>9.8052602126468949E-2</v>
      </c>
      <c r="D43" s="60">
        <f t="shared" si="1"/>
        <v>0.12243000000000001</v>
      </c>
      <c r="E43" s="61">
        <f t="shared" si="0"/>
        <v>0.22048260212646897</v>
      </c>
      <c r="H43" s="17"/>
      <c r="J43" s="17"/>
    </row>
    <row r="44" spans="1:10">
      <c r="A44" s="39">
        <v>37</v>
      </c>
      <c r="B44" s="59" t="s">
        <v>338</v>
      </c>
      <c r="C44" s="60">
        <f>'[4]WGHT calcs --not for publicatio'!E57</f>
        <v>9.4087085058757694E-2</v>
      </c>
      <c r="D44" s="60">
        <f t="shared" si="1"/>
        <v>0.12243000000000001</v>
      </c>
      <c r="E44" s="61">
        <f t="shared" si="0"/>
        <v>0.21651708505875772</v>
      </c>
      <c r="H44" s="17"/>
      <c r="J44" s="17"/>
    </row>
    <row r="45" spans="1:10">
      <c r="A45" s="39">
        <v>38</v>
      </c>
      <c r="B45" s="59" t="s">
        <v>205</v>
      </c>
      <c r="C45" s="60">
        <f>'[4]WGHT calcs --not for publicatio'!E36</f>
        <v>9.1431869054280912E-2</v>
      </c>
      <c r="D45" s="60">
        <f t="shared" si="1"/>
        <v>0.12243000000000001</v>
      </c>
      <c r="E45" s="61">
        <f t="shared" si="0"/>
        <v>0.21386186905428092</v>
      </c>
      <c r="H45" s="17"/>
      <c r="J45" s="17"/>
    </row>
    <row r="46" spans="1:10">
      <c r="A46" s="39">
        <v>39</v>
      </c>
      <c r="B46" s="59" t="s">
        <v>201</v>
      </c>
      <c r="C46" s="60">
        <f>'[4]WGHT calcs --not for publicatio'!E35</f>
        <v>9.098489087856744E-2</v>
      </c>
      <c r="D46" s="60">
        <f t="shared" si="1"/>
        <v>0.12243000000000001</v>
      </c>
      <c r="E46" s="61">
        <f t="shared" si="0"/>
        <v>0.21341489087856746</v>
      </c>
      <c r="H46" s="17"/>
      <c r="J46" s="17"/>
    </row>
    <row r="47" spans="1:10">
      <c r="A47" s="39">
        <v>40</v>
      </c>
      <c r="B47" s="59" t="s">
        <v>142</v>
      </c>
      <c r="C47" s="60">
        <f>'[4]WGHT calcs --not for publicatio'!E25</f>
        <v>9.0777839955232226E-2</v>
      </c>
      <c r="D47" s="60">
        <f t="shared" si="1"/>
        <v>0.12243000000000001</v>
      </c>
      <c r="E47" s="61">
        <f t="shared" si="0"/>
        <v>0.21320783995523224</v>
      </c>
      <c r="H47" s="17"/>
      <c r="J47" s="17"/>
    </row>
    <row r="48" spans="1:10">
      <c r="A48" s="39">
        <v>41</v>
      </c>
      <c r="B48" s="59" t="s">
        <v>232</v>
      </c>
      <c r="C48" s="60">
        <f>'[4]WGHT calcs --not for publicatio'!E39</f>
        <v>9.0425293788472305E-2</v>
      </c>
      <c r="D48" s="60">
        <f t="shared" si="1"/>
        <v>0.12243000000000001</v>
      </c>
      <c r="E48" s="61">
        <f t="shared" si="0"/>
        <v>0.21285529378847232</v>
      </c>
      <c r="H48" s="17"/>
      <c r="J48" s="17"/>
    </row>
    <row r="49" spans="1:10">
      <c r="A49" s="39">
        <v>42</v>
      </c>
      <c r="B49" s="59" t="s">
        <v>385</v>
      </c>
      <c r="C49" s="60">
        <f>'[4]WGHT calcs --not for publicatio'!E52</f>
        <v>8.8999999999999996E-2</v>
      </c>
      <c r="D49" s="60">
        <f t="shared" si="1"/>
        <v>0.12243000000000001</v>
      </c>
      <c r="E49" s="61">
        <f t="shared" si="0"/>
        <v>0.21143000000000001</v>
      </c>
      <c r="H49" s="17"/>
      <c r="J49" s="17"/>
    </row>
    <row r="50" spans="1:10">
      <c r="A50" s="39">
        <v>43</v>
      </c>
      <c r="B50" s="59" t="s">
        <v>246</v>
      </c>
      <c r="C50" s="60">
        <f>'[4]WGHT calcs --not for publicatio'!E41</f>
        <v>8.5589423626189154E-2</v>
      </c>
      <c r="D50" s="60">
        <f t="shared" si="1"/>
        <v>0.12243000000000001</v>
      </c>
      <c r="E50" s="61">
        <f t="shared" si="0"/>
        <v>0.20801942362618916</v>
      </c>
      <c r="H50" s="17"/>
      <c r="J50" s="17"/>
    </row>
    <row r="51" spans="1:10">
      <c r="A51" s="39">
        <v>44</v>
      </c>
      <c r="B51" s="59" t="s">
        <v>70</v>
      </c>
      <c r="C51" s="60">
        <f>'[4]WGHT calcs --not for publicatio'!E12</f>
        <v>8.3085898153329604E-2</v>
      </c>
      <c r="D51" s="60">
        <f t="shared" si="1"/>
        <v>0.12243000000000001</v>
      </c>
      <c r="E51" s="61">
        <f t="shared" si="0"/>
        <v>0.2055158981533296</v>
      </c>
      <c r="H51" s="17"/>
      <c r="J51" s="17"/>
    </row>
    <row r="52" spans="1:10">
      <c r="A52" s="39">
        <v>45</v>
      </c>
      <c r="B52" s="59" t="s">
        <v>94</v>
      </c>
      <c r="C52" s="60">
        <f>'[4]WGHT calcs --not for publicatio'!E17</f>
        <v>7.8889203973139338E-2</v>
      </c>
      <c r="D52" s="60">
        <f t="shared" si="1"/>
        <v>0.12243000000000001</v>
      </c>
      <c r="E52" s="61">
        <f t="shared" si="0"/>
        <v>0.20131920397313935</v>
      </c>
      <c r="H52" s="17"/>
      <c r="J52" s="17"/>
    </row>
    <row r="53" spans="1:10">
      <c r="A53" s="39">
        <v>46</v>
      </c>
      <c r="B53" s="59" t="s">
        <v>332</v>
      </c>
      <c r="C53" s="60">
        <f>'[4]WGHT calcs --not for publicatio'!E56</f>
        <v>7.8807465478567429E-2</v>
      </c>
      <c r="D53" s="60">
        <f t="shared" si="1"/>
        <v>0.12243000000000001</v>
      </c>
      <c r="E53" s="61">
        <f t="shared" si="0"/>
        <v>0.20123746547856744</v>
      </c>
      <c r="H53" s="17"/>
      <c r="J53" s="17"/>
    </row>
    <row r="54" spans="1:10">
      <c r="A54" s="39">
        <v>47</v>
      </c>
      <c r="B54" s="59" t="s">
        <v>311</v>
      </c>
      <c r="C54" s="60">
        <f>'[4]WGHT calcs --not for publicatio'!E53</f>
        <v>7.6301063234471181E-2</v>
      </c>
      <c r="D54" s="60">
        <f>D55</f>
        <v>0.12243000000000001</v>
      </c>
      <c r="E54" s="61">
        <f>C54+D54</f>
        <v>0.19873106323447121</v>
      </c>
      <c r="H54" s="17"/>
      <c r="J54" s="17"/>
    </row>
    <row r="55" spans="1:10">
      <c r="A55" s="39">
        <v>48</v>
      </c>
      <c r="B55" s="59" t="s">
        <v>256</v>
      </c>
      <c r="C55" s="60">
        <f>'[4]WGHT calcs --not for publicatio'!E43</f>
        <v>7.5233005036373812E-2</v>
      </c>
      <c r="D55" s="60">
        <f>D53</f>
        <v>0.12243000000000001</v>
      </c>
      <c r="E55" s="61">
        <f>C55+D55</f>
        <v>0.19766300503637382</v>
      </c>
      <c r="H55" s="17"/>
      <c r="J55" s="17"/>
    </row>
    <row r="56" spans="1:10">
      <c r="A56" s="39">
        <v>49</v>
      </c>
      <c r="B56" s="59" t="s">
        <v>179</v>
      </c>
      <c r="C56" s="60">
        <f>'[4]WGHT calcs --not for publicatio'!E32</f>
        <v>6.8277839955232233E-2</v>
      </c>
      <c r="D56" s="60">
        <f>D54</f>
        <v>0.12243000000000001</v>
      </c>
      <c r="E56" s="61">
        <f t="shared" si="0"/>
        <v>0.19070783995523224</v>
      </c>
      <c r="H56" s="17"/>
      <c r="J56" s="17"/>
    </row>
    <row r="57" spans="1:10">
      <c r="A57" s="39">
        <v>50</v>
      </c>
      <c r="B57" s="59" t="s">
        <v>72</v>
      </c>
      <c r="C57" s="60">
        <f>'[4]WGHT calcs --not for publicatio'!E13</f>
        <v>6.7347509792949081E-2</v>
      </c>
      <c r="D57" s="60">
        <f t="shared" si="1"/>
        <v>0.12243000000000001</v>
      </c>
      <c r="E57" s="61">
        <f t="shared" si="0"/>
        <v>0.18977750979294911</v>
      </c>
      <c r="H57" s="17"/>
      <c r="J57" s="17"/>
    </row>
    <row r="58" spans="1:10">
      <c r="A58" s="39">
        <v>51</v>
      </c>
      <c r="B58" s="59" t="s">
        <v>193</v>
      </c>
      <c r="C58" s="60">
        <f>'[4]WGHT calcs --not for publicatio'!E34</f>
        <v>3.842021885842193E-2</v>
      </c>
      <c r="D58" s="60">
        <f t="shared" si="1"/>
        <v>0.12243000000000001</v>
      </c>
      <c r="E58" s="61">
        <f t="shared" si="0"/>
        <v>0.16085021885842193</v>
      </c>
      <c r="H58" s="17"/>
      <c r="J58" s="17"/>
    </row>
    <row r="59" spans="1:10">
      <c r="A59" s="39">
        <v>52</v>
      </c>
      <c r="B59" s="59" t="s">
        <v>101</v>
      </c>
      <c r="C59" s="60">
        <f>'[4]WGHT calcs --not for publicatio'!E18</f>
        <v>2.7979854504756575E-2</v>
      </c>
      <c r="D59" s="60">
        <f t="shared" si="1"/>
        <v>0.12243000000000001</v>
      </c>
      <c r="E59" s="61">
        <f t="shared" si="0"/>
        <v>0.15040985450475658</v>
      </c>
      <c r="H59" s="17"/>
      <c r="J59" s="17"/>
    </row>
    <row r="60" spans="1:10">
      <c r="D60" s="60"/>
    </row>
    <row r="61" spans="1:10">
      <c r="B61" t="s">
        <v>386</v>
      </c>
      <c r="C61" s="61">
        <f>'[4]WGHT calcs --not for publicatio'!E60</f>
        <v>0.13146803466775153</v>
      </c>
      <c r="D61" s="61">
        <f>D59</f>
        <v>0.12243000000000001</v>
      </c>
      <c r="E61" s="61">
        <f>C61+D61</f>
        <v>0.25389803466775152</v>
      </c>
    </row>
    <row r="62" spans="1:10">
      <c r="B62" s="63"/>
      <c r="C62" s="64"/>
      <c r="D62" s="64"/>
      <c r="E62" s="64"/>
    </row>
    <row r="63" spans="1:10">
      <c r="B63" t="s">
        <v>387</v>
      </c>
      <c r="C63" s="61">
        <f>SUM(C8:C59)/52</f>
        <v>0.12091551718123626</v>
      </c>
      <c r="D63" s="61">
        <f>D61</f>
        <v>0.12243000000000001</v>
      </c>
      <c r="E63" s="61">
        <f>C63+D63</f>
        <v>0.24334551718123626</v>
      </c>
    </row>
    <row r="65" spans="1:1" ht="15" customHeight="1">
      <c r="A65" t="s">
        <v>388</v>
      </c>
    </row>
    <row r="66" spans="1:1" ht="15" customHeight="1">
      <c r="A66" t="s">
        <v>389</v>
      </c>
    </row>
  </sheetData>
  <mergeCells count="2">
    <mergeCell ref="A1:E1"/>
    <mergeCell ref="A2:E2"/>
  </mergeCells>
  <printOptions gridLine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2032D-3257-4292-8E77-BDE5549FA130}">
  <dimension ref="A1:I64"/>
  <sheetViews>
    <sheetView topLeftCell="A36" workbookViewId="0">
      <selection activeCell="F61" sqref="F61"/>
    </sheetView>
  </sheetViews>
  <sheetFormatPr defaultColWidth="8.85546875" defaultRowHeight="15"/>
  <cols>
    <col min="1" max="1" width="28" customWidth="1"/>
    <col min="2" max="3" width="12.42578125" style="39" customWidth="1"/>
    <col min="4" max="4" width="18.42578125" style="39" customWidth="1"/>
    <col min="5" max="5" width="13.85546875" customWidth="1"/>
    <col min="8" max="8" width="15.28515625" customWidth="1"/>
    <col min="9" max="9" width="16" customWidth="1"/>
  </cols>
  <sheetData>
    <row r="1" spans="1:9" ht="15.75">
      <c r="A1" s="84" t="s">
        <v>390</v>
      </c>
      <c r="B1" s="84"/>
      <c r="C1" s="84"/>
      <c r="D1" s="84"/>
      <c r="E1" s="84"/>
    </row>
    <row r="2" spans="1:9" ht="15.75">
      <c r="A2" s="84" t="s">
        <v>391</v>
      </c>
      <c r="B2" s="84"/>
      <c r="C2" s="84"/>
      <c r="D2" s="84"/>
      <c r="E2" s="84"/>
    </row>
    <row r="5" spans="1:9">
      <c r="B5" s="39" t="s">
        <v>379</v>
      </c>
      <c r="C5" s="39" t="s">
        <v>379</v>
      </c>
      <c r="D5" s="39" t="s">
        <v>392</v>
      </c>
    </row>
    <row r="6" spans="1:9">
      <c r="B6" s="39" t="s">
        <v>393</v>
      </c>
      <c r="C6" s="39" t="s">
        <v>392</v>
      </c>
      <c r="D6" s="39" t="s">
        <v>394</v>
      </c>
      <c r="E6" s="39" t="s">
        <v>395</v>
      </c>
    </row>
    <row r="7" spans="1:9">
      <c r="B7" s="58" t="s">
        <v>396</v>
      </c>
      <c r="C7" s="58" t="s">
        <v>396</v>
      </c>
      <c r="D7" s="58" t="s">
        <v>397</v>
      </c>
      <c r="E7" s="58" t="s">
        <v>398</v>
      </c>
    </row>
    <row r="8" spans="1:9">
      <c r="A8" t="s">
        <v>106</v>
      </c>
      <c r="B8" s="61">
        <f>'[4]WGHT calcs --not for publicatio'!C19</f>
        <v>0.1</v>
      </c>
      <c r="C8" s="61">
        <f>'[4]WGHT calcs --not for publicatio'!E19</f>
        <v>0.22649412423055398</v>
      </c>
      <c r="D8" s="61">
        <f t="shared" ref="D8:D59" si="0">C8-B8</f>
        <v>0.12649412423055398</v>
      </c>
      <c r="E8" s="65">
        <f t="shared" ref="E8:E16" si="1">C8/B8</f>
        <v>2.2649412423055395</v>
      </c>
      <c r="H8" s="66"/>
      <c r="I8" s="61"/>
    </row>
    <row r="9" spans="1:9">
      <c r="A9" t="s">
        <v>185</v>
      </c>
      <c r="B9" s="61">
        <f>'[4]WGHT calcs --not for publicatio'!C33</f>
        <v>7.1249999999999994E-2</v>
      </c>
      <c r="C9" s="61">
        <f>'[4]WGHT calcs --not for publicatio'!E33</f>
        <v>0.1948950755456072</v>
      </c>
      <c r="D9" s="61">
        <f t="shared" si="0"/>
        <v>0.12364507554560721</v>
      </c>
      <c r="E9" s="65">
        <f t="shared" si="1"/>
        <v>2.7353694813418556</v>
      </c>
      <c r="H9" s="62"/>
      <c r="I9" s="61"/>
    </row>
    <row r="10" spans="1:9">
      <c r="A10" t="s">
        <v>12</v>
      </c>
      <c r="B10" s="61">
        <f>'[4]WGHT calcs --not for publicatio'!C7</f>
        <v>2.5000000000000001E-2</v>
      </c>
      <c r="C10" s="61">
        <f>'[4]WGHT calcs --not for publicatio'!E7</f>
        <v>0.14274051482932287</v>
      </c>
      <c r="D10" s="61">
        <f t="shared" si="0"/>
        <v>0.11774051482932288</v>
      </c>
      <c r="E10" s="65">
        <f t="shared" si="1"/>
        <v>5.7096205931729145</v>
      </c>
      <c r="H10" s="62"/>
      <c r="I10" s="61"/>
    </row>
    <row r="11" spans="1:9">
      <c r="A11" t="s">
        <v>316</v>
      </c>
      <c r="B11" s="61">
        <f>'[4]WGHT calcs --not for publicatio'!C54</f>
        <v>9.8299999999999998E-2</v>
      </c>
      <c r="C11" s="61">
        <f>'[4]WGHT calcs --not for publicatio'!E54</f>
        <v>0.20654602686066034</v>
      </c>
      <c r="D11" s="61">
        <f t="shared" si="0"/>
        <v>0.10824602686066034</v>
      </c>
      <c r="E11" s="65">
        <f t="shared" si="1"/>
        <v>2.1011803342895252</v>
      </c>
      <c r="H11" s="62"/>
      <c r="I11" s="61"/>
    </row>
    <row r="12" spans="1:9">
      <c r="A12" t="s">
        <v>29</v>
      </c>
      <c r="B12" s="61">
        <f>'[4]WGHT calcs --not for publicatio'!C9</f>
        <v>9.1899999999999996E-2</v>
      </c>
      <c r="C12" s="61">
        <f>'[4]WGHT calcs --not for publicatio'!E9</f>
        <v>0.19985070649132627</v>
      </c>
      <c r="D12" s="61">
        <f t="shared" si="0"/>
        <v>0.10795070649132628</v>
      </c>
      <c r="E12" s="65">
        <f t="shared" si="1"/>
        <v>2.1746540423430498</v>
      </c>
      <c r="H12" s="62"/>
      <c r="I12" s="61"/>
    </row>
    <row r="13" spans="1:9">
      <c r="A13" t="s">
        <v>216</v>
      </c>
      <c r="B13" s="61">
        <f>'[4]WGHT calcs --not for publicatio'!C38</f>
        <v>8.4400000000000003E-2</v>
      </c>
      <c r="C13" s="61">
        <f>'[4]WGHT calcs --not for publicatio'!E38</f>
        <v>0.18881978175713487</v>
      </c>
      <c r="D13" s="61">
        <f t="shared" si="0"/>
        <v>0.10441978175713487</v>
      </c>
      <c r="E13" s="65">
        <f t="shared" si="1"/>
        <v>2.2372012056532569</v>
      </c>
      <c r="H13" s="66"/>
      <c r="I13" s="61"/>
    </row>
    <row r="14" spans="1:9">
      <c r="A14" t="s">
        <v>124</v>
      </c>
      <c r="B14" s="61">
        <f>'[4]WGHT calcs --not for publicatio'!C22</f>
        <v>8.3249999999999991E-2</v>
      </c>
      <c r="C14" s="61">
        <f>'[4]WGHT calcs --not for publicatio'!E22</f>
        <v>0.18038946905428091</v>
      </c>
      <c r="D14" s="61">
        <f t="shared" si="0"/>
        <v>9.7139469054280919E-2</v>
      </c>
      <c r="E14" s="65">
        <f t="shared" si="1"/>
        <v>2.1668404691204914</v>
      </c>
      <c r="H14" s="62"/>
      <c r="I14" s="61"/>
    </row>
    <row r="15" spans="1:9">
      <c r="A15" t="s">
        <v>263</v>
      </c>
      <c r="B15" s="61">
        <f>'[4]WGHT calcs --not for publicatio'!C44</f>
        <v>7.0000000000000007E-2</v>
      </c>
      <c r="C15" s="61">
        <f>'[4]WGHT calcs --not for publicatio'!E44</f>
        <v>0.16616675993284835</v>
      </c>
      <c r="D15" s="61">
        <f t="shared" si="0"/>
        <v>9.6166759932848345E-2</v>
      </c>
      <c r="E15" s="65">
        <f t="shared" si="1"/>
        <v>2.3738108561835478</v>
      </c>
      <c r="H15" s="62"/>
      <c r="I15" s="61"/>
    </row>
    <row r="16" spans="1:9">
      <c r="A16" t="s">
        <v>151</v>
      </c>
      <c r="B16" s="61">
        <f>'[4]WGHT calcs --not for publicatio'!C26</f>
        <v>0.06</v>
      </c>
      <c r="C16" s="61">
        <f>'[4]WGHT calcs --not for publicatio'!E26</f>
        <v>0.15583100167879127</v>
      </c>
      <c r="D16" s="61">
        <f t="shared" si="0"/>
        <v>9.5831001678791272E-2</v>
      </c>
      <c r="E16" s="65">
        <f t="shared" si="1"/>
        <v>2.5971833613131881</v>
      </c>
      <c r="H16" s="62"/>
      <c r="I16" s="61"/>
    </row>
    <row r="17" spans="1:9">
      <c r="A17" t="s">
        <v>201</v>
      </c>
      <c r="B17" s="61">
        <f>'[4]WGHT calcs --not for publicatio'!C35</f>
        <v>0</v>
      </c>
      <c r="C17" s="61">
        <f>'[4]WGHT calcs --not for publicatio'!E35</f>
        <v>9.098489087856744E-2</v>
      </c>
      <c r="D17" s="61">
        <f t="shared" si="0"/>
        <v>9.098489087856744E-2</v>
      </c>
      <c r="E17" s="65" t="s">
        <v>399</v>
      </c>
      <c r="H17" s="66"/>
      <c r="I17" s="61"/>
    </row>
    <row r="18" spans="1:9">
      <c r="A18" t="s">
        <v>298</v>
      </c>
      <c r="B18" s="61">
        <f>'[4]WGHT calcs --not for publicatio'!C51</f>
        <v>7.4999999999999997E-2</v>
      </c>
      <c r="C18" s="61">
        <f>'[4]WGHT calcs --not for publicatio'!E51</f>
        <v>0.1614829322887521</v>
      </c>
      <c r="D18" s="61">
        <f t="shared" si="0"/>
        <v>8.6482932288752104E-2</v>
      </c>
      <c r="E18" s="65">
        <f>C18/B18</f>
        <v>2.1531057638500282</v>
      </c>
      <c r="H18" s="62"/>
      <c r="I18" s="61"/>
    </row>
    <row r="19" spans="1:9">
      <c r="A19" t="s">
        <v>270</v>
      </c>
      <c r="B19" s="61">
        <f>'[4]WGHT calcs --not for publicatio'!C46</f>
        <v>7.0000000000000007E-2</v>
      </c>
      <c r="C19" s="61">
        <f>'[4]WGHT calcs --not for publicatio'!E46</f>
        <v>0.15497481813094571</v>
      </c>
      <c r="D19" s="61">
        <f t="shared" si="0"/>
        <v>8.4974818130945706E-2</v>
      </c>
      <c r="E19" s="65">
        <f>C19/B19</f>
        <v>2.2139259732992245</v>
      </c>
      <c r="H19" s="62"/>
      <c r="I19" s="61"/>
    </row>
    <row r="20" spans="1:9">
      <c r="A20" t="s">
        <v>238</v>
      </c>
      <c r="B20" s="61">
        <f>'[4]WGHT calcs --not for publicatio'!C40</f>
        <v>7.2499999999999995E-2</v>
      </c>
      <c r="C20" s="61">
        <f>'[4]WGHT calcs --not for publicatio'!E40</f>
        <v>0.15429910464465585</v>
      </c>
      <c r="D20" s="61">
        <f t="shared" si="0"/>
        <v>8.1799104644655854E-2</v>
      </c>
      <c r="E20" s="65">
        <f>C20/B20</f>
        <v>2.128263512340081</v>
      </c>
      <c r="H20" s="62"/>
      <c r="I20" s="61"/>
    </row>
    <row r="21" spans="1:9">
      <c r="A21" t="s">
        <v>280</v>
      </c>
      <c r="B21" s="61">
        <f>'[4]WGHT calcs --not for publicatio'!C48</f>
        <v>6.5000000000000002E-2</v>
      </c>
      <c r="C21" s="61">
        <f>'[4]WGHT calcs --not for publicatio'!E48</f>
        <v>0.1451152963066592</v>
      </c>
      <c r="D21" s="61">
        <f t="shared" si="0"/>
        <v>8.0115296306659201E-2</v>
      </c>
      <c r="E21" s="65">
        <f>C21/B21</f>
        <v>2.2325430201024492</v>
      </c>
      <c r="H21" s="62"/>
      <c r="I21" s="61"/>
    </row>
    <row r="22" spans="1:9">
      <c r="A22" t="s">
        <v>256</v>
      </c>
      <c r="B22" s="61">
        <f>'[4]WGHT calcs --not for publicatio'!C43</f>
        <v>0</v>
      </c>
      <c r="C22" s="61">
        <f>'[4]WGHT calcs --not for publicatio'!E43</f>
        <v>7.5233005036373812E-2</v>
      </c>
      <c r="D22" s="61">
        <f t="shared" si="0"/>
        <v>7.5233005036373812E-2</v>
      </c>
      <c r="E22" s="65" t="s">
        <v>399</v>
      </c>
      <c r="H22" s="62"/>
      <c r="I22" s="61"/>
    </row>
    <row r="23" spans="1:9">
      <c r="A23" t="s">
        <v>83</v>
      </c>
      <c r="B23" s="61">
        <f>'[4]WGHT calcs --not for publicatio'!C15</f>
        <v>7.4999999999999997E-2</v>
      </c>
      <c r="C23" s="61">
        <f>'[4]WGHT calcs --not for publicatio'!E15</f>
        <v>0.15019194180190265</v>
      </c>
      <c r="D23" s="61">
        <f t="shared" si="0"/>
        <v>7.5191941801902654E-2</v>
      </c>
      <c r="E23" s="65">
        <f>C23/B23</f>
        <v>2.0025592240253687</v>
      </c>
      <c r="H23" s="62"/>
      <c r="I23" s="61"/>
    </row>
    <row r="24" spans="1:9">
      <c r="A24" t="s">
        <v>179</v>
      </c>
      <c r="B24" s="61">
        <f>'[4]WGHT calcs --not for publicatio'!C32</f>
        <v>0</v>
      </c>
      <c r="C24" s="61">
        <f>'[4]WGHT calcs --not for publicatio'!E32</f>
        <v>6.8277839955232233E-2</v>
      </c>
      <c r="D24" s="61">
        <f t="shared" si="0"/>
        <v>6.8277839955232233E-2</v>
      </c>
      <c r="E24" s="65" t="s">
        <v>399</v>
      </c>
      <c r="H24" s="62"/>
      <c r="I24" s="61"/>
    </row>
    <row r="25" spans="1:9">
      <c r="A25" t="s">
        <v>72</v>
      </c>
      <c r="B25" s="61">
        <f>'[4]WGHT calcs --not for publicatio'!C13</f>
        <v>0</v>
      </c>
      <c r="C25" s="61">
        <f>'[4]WGHT calcs --not for publicatio'!E13</f>
        <v>6.7347509792949081E-2</v>
      </c>
      <c r="D25" s="61">
        <f t="shared" si="0"/>
        <v>6.7347509792949081E-2</v>
      </c>
      <c r="E25" s="65" t="s">
        <v>399</v>
      </c>
      <c r="H25" s="62"/>
      <c r="I25" s="61"/>
    </row>
    <row r="26" spans="1:9">
      <c r="A26" t="s">
        <v>175</v>
      </c>
      <c r="B26" s="61">
        <f>'[4]WGHT calcs --not for publicatio'!C31</f>
        <v>8.5400000000000004E-2</v>
      </c>
      <c r="C26" s="61">
        <f>'[4]WGHT calcs --not for publicatio'!E31</f>
        <v>0.15037500000000001</v>
      </c>
      <c r="D26" s="61">
        <f t="shared" si="0"/>
        <v>6.4975000000000005E-2</v>
      </c>
      <c r="E26" s="65">
        <f t="shared" ref="E26:E59" si="2">C26/B26</f>
        <v>1.760831381733021</v>
      </c>
      <c r="H26" s="62"/>
      <c r="I26" s="61"/>
    </row>
    <row r="27" spans="1:9">
      <c r="A27" t="s">
        <v>79</v>
      </c>
      <c r="B27" s="61">
        <f>'[4]WGHT calcs --not for publicatio'!C14</f>
        <v>0.06</v>
      </c>
      <c r="C27" s="61">
        <f>'[4]WGHT calcs --not for publicatio'!E14</f>
        <v>0.121264689423615</v>
      </c>
      <c r="D27" s="61">
        <f t="shared" si="0"/>
        <v>6.1264689423615001E-2</v>
      </c>
      <c r="E27" s="65">
        <f t="shared" si="2"/>
        <v>2.0210781570602498</v>
      </c>
      <c r="H27" s="62"/>
      <c r="I27" s="61"/>
    </row>
    <row r="28" spans="1:9">
      <c r="A28" t="s">
        <v>39</v>
      </c>
      <c r="B28" s="61">
        <f>'[4]WGHT calcs --not for publicatio'!C10</f>
        <v>9.1249999999999998E-2</v>
      </c>
      <c r="C28" s="61">
        <f>'[4]WGHT calcs --not for publicatio'!E10</f>
        <v>0.14424286635142697</v>
      </c>
      <c r="D28" s="61">
        <f t="shared" si="0"/>
        <v>5.299286635142697E-2</v>
      </c>
      <c r="E28" s="65">
        <f t="shared" si="2"/>
        <v>1.5807437408375558</v>
      </c>
      <c r="H28" s="62"/>
      <c r="I28" s="61"/>
    </row>
    <row r="29" spans="1:9">
      <c r="A29" t="s">
        <v>252</v>
      </c>
      <c r="B29" s="61">
        <f>'[4]WGHT calcs --not for publicatio'!C42</f>
        <v>8.5800000000000001E-2</v>
      </c>
      <c r="C29" s="61">
        <f>'[4]WGHT calcs --not for publicatio'!E42</f>
        <v>0.13859192501398993</v>
      </c>
      <c r="D29" s="61">
        <f t="shared" si="0"/>
        <v>5.2791925013989924E-2</v>
      </c>
      <c r="E29" s="65">
        <f t="shared" si="2"/>
        <v>1.6152905013285539</v>
      </c>
      <c r="H29" s="66"/>
      <c r="I29" s="61"/>
    </row>
    <row r="30" spans="1:9">
      <c r="A30" t="s">
        <v>128</v>
      </c>
      <c r="B30" s="61">
        <f>'[4]WGHT calcs --not for publicatio'!C23</f>
        <v>0.06</v>
      </c>
      <c r="C30" s="61">
        <f>'[4]WGHT calcs --not for publicatio'!E23</f>
        <v>0.11262227196418578</v>
      </c>
      <c r="D30" s="61">
        <f t="shared" si="0"/>
        <v>5.2622271964185785E-2</v>
      </c>
      <c r="E30" s="65">
        <f t="shared" si="2"/>
        <v>1.8770378660697631</v>
      </c>
      <c r="H30" s="62"/>
      <c r="I30" s="61"/>
    </row>
    <row r="31" spans="1:9">
      <c r="A31" t="s">
        <v>56</v>
      </c>
      <c r="B31" s="61">
        <f>'[4]WGHT calcs --not for publicatio'!C11</f>
        <v>8.5050000000000001E-2</v>
      </c>
      <c r="C31" s="61">
        <f>'[4]WGHT calcs --not for publicatio'!E11</f>
        <v>0.13096166648013427</v>
      </c>
      <c r="D31" s="61">
        <f t="shared" si="0"/>
        <v>4.5911666480134269E-2</v>
      </c>
      <c r="E31" s="65">
        <f t="shared" si="2"/>
        <v>1.5398197117005792</v>
      </c>
      <c r="H31" s="66"/>
      <c r="I31" s="61"/>
    </row>
    <row r="32" spans="1:9">
      <c r="A32" t="s">
        <v>273</v>
      </c>
      <c r="B32" s="61">
        <f>'[4]WGHT calcs --not for publicatio'!C47</f>
        <v>8.5000000000000006E-2</v>
      </c>
      <c r="C32" s="61">
        <f>'[4]WGHT calcs --not for publicatio'!E47</f>
        <v>0.12998120542809175</v>
      </c>
      <c r="D32" s="61">
        <f t="shared" si="0"/>
        <v>4.4981205428091739E-2</v>
      </c>
      <c r="E32" s="65">
        <f t="shared" si="2"/>
        <v>1.529190652095197</v>
      </c>
      <c r="H32" s="62"/>
      <c r="I32" s="61"/>
    </row>
    <row r="33" spans="1:9">
      <c r="A33" t="s">
        <v>111</v>
      </c>
      <c r="B33" s="61">
        <f>'[4]WGHT calcs --not for publicatio'!C20</f>
        <v>7.0000000000000007E-2</v>
      </c>
      <c r="C33" s="61">
        <f>'[4]WGHT calcs --not for publicatio'!E20</f>
        <v>0.11376617713989927</v>
      </c>
      <c r="D33" s="61">
        <f t="shared" si="0"/>
        <v>4.3766177139899262E-2</v>
      </c>
      <c r="E33" s="65">
        <f t="shared" si="2"/>
        <v>1.6252311019985608</v>
      </c>
      <c r="H33" s="62"/>
      <c r="I33" s="61"/>
    </row>
    <row r="34" spans="1:9">
      <c r="A34" t="s">
        <v>207</v>
      </c>
      <c r="B34" s="61">
        <f>'[4]WGHT calcs --not for publicatio'!C37</f>
        <v>8.0299999999999996E-2</v>
      </c>
      <c r="C34" s="61">
        <f>'[4]WGHT calcs --not for publicatio'!E37</f>
        <v>0.12323878757694462</v>
      </c>
      <c r="D34" s="61">
        <f t="shared" si="0"/>
        <v>4.2938787576944623E-2</v>
      </c>
      <c r="E34" s="65">
        <f t="shared" si="2"/>
        <v>1.5347296086792606</v>
      </c>
      <c r="H34" s="62"/>
      <c r="I34" s="61"/>
    </row>
    <row r="35" spans="1:9">
      <c r="A35" t="s">
        <v>157</v>
      </c>
      <c r="B35" s="61">
        <f>'[4]WGHT calcs --not for publicatio'!C27</f>
        <v>6.25E-2</v>
      </c>
      <c r="C35" s="61">
        <f>'[4]WGHT calcs --not for publicatio'!E27</f>
        <v>0.10446978175713487</v>
      </c>
      <c r="D35" s="61">
        <f t="shared" si="0"/>
        <v>4.1969781757134866E-2</v>
      </c>
      <c r="E35" s="65">
        <f t="shared" si="2"/>
        <v>1.6715165081141579</v>
      </c>
      <c r="H35" s="62"/>
      <c r="I35" s="61"/>
    </row>
    <row r="36" spans="1:9">
      <c r="A36" t="s">
        <v>287</v>
      </c>
      <c r="B36" s="61">
        <f>'[4]WGHT calcs --not for publicatio'!C49</f>
        <v>9.5000000000000001E-2</v>
      </c>
      <c r="C36" s="61">
        <f>'[4]WGHT calcs --not for publicatio'!E49</f>
        <v>0.13696978175713487</v>
      </c>
      <c r="D36" s="61">
        <f t="shared" si="0"/>
        <v>4.1969781757134866E-2</v>
      </c>
      <c r="E36" s="65">
        <f t="shared" si="2"/>
        <v>1.4417871763908934</v>
      </c>
      <c r="H36" s="66"/>
      <c r="I36" s="61"/>
    </row>
    <row r="37" spans="1:9">
      <c r="A37" t="s">
        <v>88</v>
      </c>
      <c r="B37" s="61">
        <f>'[4]WGHT calcs --not for publicatio'!C16</f>
        <v>8.2500000000000004E-2</v>
      </c>
      <c r="C37" s="61">
        <f>'[4]WGHT calcs --not for publicatio'!E16</f>
        <v>0.12276161163961949</v>
      </c>
      <c r="D37" s="61">
        <f t="shared" si="0"/>
        <v>4.0261611639619485E-2</v>
      </c>
      <c r="E37" s="65">
        <f t="shared" si="2"/>
        <v>1.4880195350256906</v>
      </c>
      <c r="H37" s="62"/>
      <c r="I37" s="61"/>
    </row>
    <row r="38" spans="1:9">
      <c r="A38" t="s">
        <v>21</v>
      </c>
      <c r="B38" s="61">
        <f>'[4]WGHT calcs --not for publicatio'!C8</f>
        <v>8.6499999999999994E-2</v>
      </c>
      <c r="C38" s="61">
        <f>'[4]WGHT calcs --not for publicatio'!E8</f>
        <v>0.12659597090095132</v>
      </c>
      <c r="D38" s="61">
        <f t="shared" si="0"/>
        <v>4.0095970900951322E-2</v>
      </c>
      <c r="E38" s="65">
        <f t="shared" si="2"/>
        <v>1.4635372358491483</v>
      </c>
      <c r="H38" s="62"/>
      <c r="I38" s="61"/>
    </row>
    <row r="39" spans="1:9">
      <c r="A39" t="s">
        <v>338</v>
      </c>
      <c r="B39" s="61">
        <f>'[4]WGHT calcs --not for publicatio'!C57</f>
        <v>5.5E-2</v>
      </c>
      <c r="C39" s="61">
        <f>'[4]WGHT calcs --not for publicatio'!E57</f>
        <v>9.4087085058757694E-2</v>
      </c>
      <c r="D39" s="61">
        <f t="shared" si="0"/>
        <v>3.9087085058757694E-2</v>
      </c>
      <c r="E39" s="65">
        <f t="shared" si="2"/>
        <v>1.7106742737955944</v>
      </c>
      <c r="H39" s="62"/>
      <c r="I39" s="61"/>
    </row>
    <row r="40" spans="1:9">
      <c r="A40" t="s">
        <v>160</v>
      </c>
      <c r="B40" s="61">
        <f>'[4]WGHT calcs --not for publicatio'!C28</f>
        <v>0.06</v>
      </c>
      <c r="C40" s="61">
        <f>'[4]WGHT calcs --not for publicatio'!E28</f>
        <v>9.8052602126468949E-2</v>
      </c>
      <c r="D40" s="61">
        <f t="shared" si="0"/>
        <v>3.8052602126468951E-2</v>
      </c>
      <c r="E40" s="65">
        <f t="shared" si="2"/>
        <v>1.6342100354411493</v>
      </c>
      <c r="H40" s="62"/>
      <c r="I40" s="61"/>
    </row>
    <row r="41" spans="1:9">
      <c r="A41" t="s">
        <v>325</v>
      </c>
      <c r="B41" s="61">
        <f>'[4]WGHT calcs --not for publicatio'!C55</f>
        <v>7.0000000000000007E-2</v>
      </c>
      <c r="C41" s="61">
        <f>'[4]WGHT calcs --not for publicatio'!E55</f>
        <v>0.10744264129826525</v>
      </c>
      <c r="D41" s="61">
        <f t="shared" si="0"/>
        <v>3.7442641298265245E-2</v>
      </c>
      <c r="E41" s="65">
        <f t="shared" si="2"/>
        <v>1.5348948756895033</v>
      </c>
      <c r="H41" s="62"/>
      <c r="I41" s="61"/>
    </row>
    <row r="42" spans="1:9">
      <c r="A42" t="s">
        <v>384</v>
      </c>
      <c r="B42" s="61">
        <f>'[4]WGHT calcs --not for publicatio'!C50</f>
        <v>8.2500000000000004E-2</v>
      </c>
      <c r="C42" s="61">
        <f>'[4]WGHT calcs --not for publicatio'!E50</f>
        <v>0.11892571852266368</v>
      </c>
      <c r="D42" s="61">
        <f t="shared" si="0"/>
        <v>3.6425718522663672E-2</v>
      </c>
      <c r="E42" s="65">
        <f t="shared" si="2"/>
        <v>1.4415238608807717</v>
      </c>
      <c r="H42" s="66"/>
      <c r="I42" s="61"/>
    </row>
    <row r="43" spans="1:9">
      <c r="A43" t="s">
        <v>142</v>
      </c>
      <c r="B43" s="61">
        <f>'[4]WGHT calcs --not for publicatio'!C25</f>
        <v>5.5E-2</v>
      </c>
      <c r="C43" s="61">
        <f>'[4]WGHT calcs --not for publicatio'!E25</f>
        <v>9.0777839955232226E-2</v>
      </c>
      <c r="D43" s="61">
        <f t="shared" si="0"/>
        <v>3.5777839955232225E-2</v>
      </c>
      <c r="E43" s="65">
        <f t="shared" si="2"/>
        <v>1.6505061810042223</v>
      </c>
      <c r="H43" s="62"/>
      <c r="I43" s="61"/>
    </row>
    <row r="44" spans="1:9">
      <c r="A44" t="s">
        <v>94</v>
      </c>
      <c r="B44" s="61">
        <f>'[4]WGHT calcs --not for publicatio'!C17</f>
        <v>4.4999999999999998E-2</v>
      </c>
      <c r="C44" s="61">
        <f>'[4]WGHT calcs --not for publicatio'!E17</f>
        <v>7.8889203973139338E-2</v>
      </c>
      <c r="D44" s="61">
        <f t="shared" si="0"/>
        <v>3.388920397313934E-2</v>
      </c>
      <c r="E44" s="65">
        <f t="shared" si="2"/>
        <v>1.7530934216253187</v>
      </c>
      <c r="H44" s="66"/>
      <c r="I44" s="61"/>
    </row>
    <row r="45" spans="1:9">
      <c r="A45" t="s">
        <v>119</v>
      </c>
      <c r="B45" s="61">
        <f>'[4]WGHT calcs --not for publicatio'!C21</f>
        <v>7.0000000000000007E-2</v>
      </c>
      <c r="C45" s="61">
        <f>'[4]WGHT calcs --not for publicatio'!E21</f>
        <v>9.881925013989927E-2</v>
      </c>
      <c r="D45" s="61">
        <f t="shared" si="0"/>
        <v>2.8819250139899263E-2</v>
      </c>
      <c r="E45" s="65">
        <f t="shared" si="2"/>
        <v>1.4117035734271324</v>
      </c>
      <c r="H45" s="62"/>
      <c r="I45" s="61"/>
    </row>
    <row r="46" spans="1:9">
      <c r="A46" t="s">
        <v>205</v>
      </c>
      <c r="B46" s="61">
        <f>'[4]WGHT calcs --not for publicatio'!C36</f>
        <v>6.6250000000000003E-2</v>
      </c>
      <c r="C46" s="61">
        <f>'[4]WGHT calcs --not for publicatio'!E36</f>
        <v>9.1431869054280912E-2</v>
      </c>
      <c r="D46" s="61">
        <f t="shared" si="0"/>
        <v>2.5181869054280909E-2</v>
      </c>
      <c r="E46" s="65">
        <f t="shared" si="2"/>
        <v>1.3801036838382024</v>
      </c>
      <c r="H46" s="62"/>
      <c r="I46" s="61"/>
    </row>
    <row r="47" spans="1:9">
      <c r="A47" t="s">
        <v>172</v>
      </c>
      <c r="B47" s="61">
        <f>'[4]WGHT calcs --not for publicatio'!C30</f>
        <v>7.4999999999999997E-2</v>
      </c>
      <c r="C47" s="61">
        <f>'[4]WGHT calcs --not for publicatio'!E30</f>
        <v>9.9378847229994405E-2</v>
      </c>
      <c r="D47" s="61">
        <f t="shared" si="0"/>
        <v>2.4378847229994408E-2</v>
      </c>
      <c r="E47" s="65">
        <f t="shared" si="2"/>
        <v>1.3250512963999255</v>
      </c>
      <c r="H47" s="62"/>
      <c r="I47" s="61"/>
    </row>
    <row r="48" spans="1:9">
      <c r="A48" t="s">
        <v>385</v>
      </c>
      <c r="B48" s="61">
        <f>'[4]WGHT calcs --not for publicatio'!C52</f>
        <v>6.5000000000000002E-2</v>
      </c>
      <c r="C48" s="61">
        <f>'[4]WGHT calcs --not for publicatio'!E52</f>
        <v>8.8999999999999996E-2</v>
      </c>
      <c r="D48" s="61">
        <f t="shared" si="0"/>
        <v>2.3999999999999994E-2</v>
      </c>
      <c r="E48" s="65">
        <f t="shared" si="2"/>
        <v>1.369230769230769</v>
      </c>
      <c r="H48" s="66"/>
      <c r="I48" s="61"/>
    </row>
    <row r="49" spans="1:9">
      <c r="A49" t="s">
        <v>167</v>
      </c>
      <c r="B49" s="61">
        <f>'[4]WGHT calcs --not for publicatio'!C29</f>
        <v>7.9600000000000004E-2</v>
      </c>
      <c r="C49" s="61">
        <f>'[4]WGHT calcs --not for publicatio'!E29</f>
        <v>0.10356267487409065</v>
      </c>
      <c r="D49" s="61">
        <f t="shared" si="0"/>
        <v>2.396267487409065E-2</v>
      </c>
      <c r="E49" s="65">
        <f t="shared" si="2"/>
        <v>1.3010386290714906</v>
      </c>
      <c r="H49" s="62"/>
      <c r="I49" s="61"/>
    </row>
    <row r="50" spans="1:9">
      <c r="A50" t="s">
        <v>332</v>
      </c>
      <c r="B50" s="61">
        <f>'[4]WGHT calcs --not for publicatio'!C56</f>
        <v>5.5E-2</v>
      </c>
      <c r="C50" s="61">
        <f>'[4]WGHT calcs --not for publicatio'!E56</f>
        <v>7.8807465478567429E-2</v>
      </c>
      <c r="D50" s="61">
        <f t="shared" si="0"/>
        <v>2.3807465478567429E-2</v>
      </c>
      <c r="E50" s="65">
        <f t="shared" si="2"/>
        <v>1.432863008701226</v>
      </c>
      <c r="H50" s="62"/>
      <c r="I50" s="61"/>
    </row>
    <row r="51" spans="1:9">
      <c r="A51" t="s">
        <v>266</v>
      </c>
      <c r="B51" s="61">
        <f>'[4]WGHT calcs --not for publicatio'!C45</f>
        <v>0.115</v>
      </c>
      <c r="C51" s="61">
        <f>'[4]WGHT calcs --not for publicatio'!E45</f>
        <v>0.13773302725237829</v>
      </c>
      <c r="D51" s="61">
        <f t="shared" si="0"/>
        <v>2.2733027252378288E-2</v>
      </c>
      <c r="E51" s="65">
        <f t="shared" si="2"/>
        <v>1.1976784978467676</v>
      </c>
      <c r="H51" s="62"/>
      <c r="I51" s="61"/>
    </row>
    <row r="52" spans="1:9">
      <c r="A52" t="s">
        <v>70</v>
      </c>
      <c r="B52" s="61">
        <f>'[4]WGHT calcs --not for publicatio'!C12</f>
        <v>6.3500000000000001E-2</v>
      </c>
      <c r="C52" s="61">
        <f>'[4]WGHT calcs --not for publicatio'!E12</f>
        <v>8.3085898153329604E-2</v>
      </c>
      <c r="D52" s="61">
        <f t="shared" si="0"/>
        <v>1.9585898153329603E-2</v>
      </c>
      <c r="E52" s="65">
        <f t="shared" si="2"/>
        <v>1.3084393409973165</v>
      </c>
      <c r="H52" s="66"/>
      <c r="I52" s="61"/>
    </row>
    <row r="53" spans="1:9">
      <c r="A53" t="s">
        <v>232</v>
      </c>
      <c r="B53" s="61">
        <f>'[4]WGHT calcs --not for publicatio'!C39</f>
        <v>7.2499999999999995E-2</v>
      </c>
      <c r="C53" s="61">
        <f>'[4]WGHT calcs --not for publicatio'!E39</f>
        <v>9.0425293788472305E-2</v>
      </c>
      <c r="D53" s="61">
        <f t="shared" si="0"/>
        <v>1.792529378847231E-2</v>
      </c>
      <c r="E53" s="65">
        <f t="shared" si="2"/>
        <v>1.2472454315651353</v>
      </c>
      <c r="H53" s="62"/>
      <c r="I53" s="61"/>
    </row>
    <row r="54" spans="1:9">
      <c r="A54" t="s">
        <v>6</v>
      </c>
      <c r="B54" s="61">
        <f>'[4]WGHT calcs --not for publicatio'!C6</f>
        <v>9.6250000000000002E-2</v>
      </c>
      <c r="C54" s="61">
        <f>'[4]WGHT calcs --not for publicatio'!E6</f>
        <v>0.11204252937884723</v>
      </c>
      <c r="D54" s="61">
        <f t="shared" si="0"/>
        <v>1.5792529378847231E-2</v>
      </c>
      <c r="E54" s="65">
        <f t="shared" si="2"/>
        <v>1.1640782273126986</v>
      </c>
      <c r="H54" s="62"/>
      <c r="I54" s="61"/>
    </row>
    <row r="55" spans="1:9">
      <c r="A55" t="s">
        <v>311</v>
      </c>
      <c r="B55" s="61">
        <f>'[4]WGHT calcs --not for publicatio'!C53</f>
        <v>0.06</v>
      </c>
      <c r="C55" s="61">
        <f>'[4]WGHT calcs --not for publicatio'!E53</f>
        <v>7.6301063234471181E-2</v>
      </c>
      <c r="D55" s="61">
        <f t="shared" si="0"/>
        <v>1.6301063234471183E-2</v>
      </c>
      <c r="E55" s="65">
        <f t="shared" si="2"/>
        <v>1.2716843872411865</v>
      </c>
      <c r="H55" s="62"/>
      <c r="I55" s="61"/>
    </row>
    <row r="56" spans="1:9">
      <c r="A56" t="s">
        <v>246</v>
      </c>
      <c r="B56" s="61">
        <f>'[4]WGHT calcs --not for publicatio'!C41</f>
        <v>7.7499999999999999E-2</v>
      </c>
      <c r="C56" s="61">
        <f>'[4]WGHT calcs --not for publicatio'!E41</f>
        <v>8.5589423626189154E-2</v>
      </c>
      <c r="D56" s="61">
        <f t="shared" si="0"/>
        <v>8.0894236261891544E-3</v>
      </c>
      <c r="E56" s="65">
        <f t="shared" si="2"/>
        <v>1.1043796596927633</v>
      </c>
    </row>
    <row r="57" spans="1:9">
      <c r="A57" t="s">
        <v>137</v>
      </c>
      <c r="B57" s="61">
        <f>'[4]WGHT calcs --not for publicatio'!C24</f>
        <v>9.7000000000000003E-2</v>
      </c>
      <c r="C57" s="61">
        <f>'[4]WGHT calcs --not for publicatio'!E24</f>
        <v>0.10137185226636822</v>
      </c>
      <c r="D57" s="61">
        <f t="shared" si="0"/>
        <v>4.3718522663682147E-3</v>
      </c>
      <c r="E57" s="65">
        <f t="shared" si="2"/>
        <v>1.0450706419213218</v>
      </c>
    </row>
    <row r="58" spans="1:9">
      <c r="A58" t="s">
        <v>101</v>
      </c>
      <c r="B58" s="61">
        <f>'[4]WGHT calcs --not for publicatio'!C18</f>
        <v>0.06</v>
      </c>
      <c r="C58" s="61">
        <f>'[4]WGHT calcs --not for publicatio'!E18</f>
        <v>2.7979854504756575E-2</v>
      </c>
      <c r="D58" s="61">
        <f t="shared" si="0"/>
        <v>-3.2020145495243423E-2</v>
      </c>
      <c r="E58" s="65">
        <f t="shared" si="2"/>
        <v>0.4663309084126096</v>
      </c>
    </row>
    <row r="59" spans="1:9">
      <c r="A59" t="s">
        <v>193</v>
      </c>
      <c r="B59" s="61">
        <f>'[4]WGHT calcs --not for publicatio'!C34</f>
        <v>8.3299999999999999E-2</v>
      </c>
      <c r="C59" s="61">
        <f>'[4]WGHT calcs --not for publicatio'!E34</f>
        <v>3.842021885842193E-2</v>
      </c>
      <c r="D59" s="61">
        <f t="shared" si="0"/>
        <v>-4.4879781141578069E-2</v>
      </c>
      <c r="E59" s="65">
        <f t="shared" si="2"/>
        <v>0.46122711714792231</v>
      </c>
    </row>
    <row r="61" spans="1:9">
      <c r="A61" s="38" t="s">
        <v>530</v>
      </c>
      <c r="B61" s="64">
        <f>'[4]WGHT calcs --not for publicatio'!C60</f>
        <v>7.7654855735352482E-2</v>
      </c>
      <c r="C61" s="64">
        <f>'[4]WGHT calcs --not for publicatio'!E60</f>
        <v>0.13146803466775153</v>
      </c>
      <c r="D61" s="64">
        <f>C61-B61</f>
        <v>5.381317893239905E-2</v>
      </c>
      <c r="E61" s="67">
        <f>C61/B61</f>
        <v>1.6929789312312189</v>
      </c>
    </row>
    <row r="63" spans="1:9">
      <c r="A63" t="s">
        <v>400</v>
      </c>
    </row>
    <row r="64" spans="1:9">
      <c r="A64" t="s">
        <v>401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D6579-E9DD-4338-91C1-8C2A0CBAC836}">
  <dimension ref="A1:C18"/>
  <sheetViews>
    <sheetView workbookViewId="0">
      <selection activeCell="B38" sqref="B38"/>
    </sheetView>
  </sheetViews>
  <sheetFormatPr defaultColWidth="8.85546875" defaultRowHeight="15"/>
  <cols>
    <col min="1" max="1" width="25.140625" customWidth="1"/>
    <col min="2" max="2" width="28.85546875" customWidth="1"/>
    <col min="3" max="3" width="25.7109375" customWidth="1"/>
  </cols>
  <sheetData>
    <row r="1" spans="1:3">
      <c r="A1" s="85" t="s">
        <v>402</v>
      </c>
      <c r="B1" s="85"/>
      <c r="C1" s="85"/>
    </row>
    <row r="2" spans="1:3">
      <c r="A2" s="85" t="s">
        <v>403</v>
      </c>
      <c r="B2" s="85"/>
      <c r="C2" s="85"/>
    </row>
    <row r="4" spans="1:3">
      <c r="A4" s="39" t="s">
        <v>404</v>
      </c>
      <c r="B4" s="39" t="s">
        <v>405</v>
      </c>
      <c r="C4" s="39" t="s">
        <v>406</v>
      </c>
    </row>
    <row r="5" spans="1:3">
      <c r="A5" s="58" t="s">
        <v>407</v>
      </c>
      <c r="B5" s="58" t="s">
        <v>408</v>
      </c>
      <c r="C5" s="58" t="s">
        <v>409</v>
      </c>
    </row>
    <row r="6" spans="1:3">
      <c r="A6" s="39" t="s">
        <v>128</v>
      </c>
      <c r="B6" s="39" t="s">
        <v>79</v>
      </c>
      <c r="C6" s="39" t="s">
        <v>72</v>
      </c>
    </row>
    <row r="7" spans="1:3">
      <c r="A7" s="39" t="s">
        <v>216</v>
      </c>
      <c r="B7" s="39" t="s">
        <v>83</v>
      </c>
      <c r="C7" s="39" t="s">
        <v>179</v>
      </c>
    </row>
    <row r="8" spans="1:3">
      <c r="A8" s="39" t="s">
        <v>238</v>
      </c>
      <c r="B8" s="39" t="s">
        <v>106</v>
      </c>
      <c r="C8" s="39" t="s">
        <v>201</v>
      </c>
    </row>
    <row r="9" spans="1:3">
      <c r="A9" s="39" t="s">
        <v>263</v>
      </c>
      <c r="B9" s="39" t="s">
        <v>142</v>
      </c>
      <c r="C9" s="39"/>
    </row>
    <row r="10" spans="1:3">
      <c r="A10" s="39" t="s">
        <v>410</v>
      </c>
      <c r="B10" s="39"/>
      <c r="C10" s="39"/>
    </row>
    <row r="11" spans="1:3">
      <c r="A11" s="39" t="s">
        <v>280</v>
      </c>
      <c r="B11" s="39"/>
      <c r="C11" s="39"/>
    </row>
    <row r="12" spans="1:3">
      <c r="B12" s="39"/>
      <c r="C12" s="39"/>
    </row>
    <row r="13" spans="1:3">
      <c r="A13" s="39"/>
      <c r="B13" s="39"/>
      <c r="C13" s="39"/>
    </row>
    <row r="14" spans="1:3">
      <c r="A14" s="39"/>
      <c r="B14" s="39"/>
      <c r="C14" s="39"/>
    </row>
    <row r="15" spans="1:3">
      <c r="A15" s="39"/>
      <c r="B15" s="39"/>
      <c r="C15" s="39"/>
    </row>
    <row r="16" spans="1:3">
      <c r="A16" s="39"/>
      <c r="B16" s="39"/>
      <c r="C16" s="39"/>
    </row>
    <row r="17" spans="1:3">
      <c r="A17" s="39"/>
      <c r="B17" s="39"/>
      <c r="C17" s="39"/>
    </row>
    <row r="18" spans="1:3">
      <c r="A18" s="39"/>
      <c r="B18" s="39"/>
      <c r="C18" s="39"/>
    </row>
  </sheetData>
  <mergeCells count="2">
    <mergeCell ref="A1:C1"/>
    <mergeCell ref="A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78A39-5C85-4033-9616-81C6D73A8B8D}">
  <dimension ref="A1:C15"/>
  <sheetViews>
    <sheetView workbookViewId="0">
      <selection activeCell="C27" sqref="C27"/>
    </sheetView>
  </sheetViews>
  <sheetFormatPr defaultColWidth="8.85546875" defaultRowHeight="15"/>
  <cols>
    <col min="1" max="1" width="31.42578125" customWidth="1"/>
    <col min="2" max="2" width="30.42578125" customWidth="1"/>
    <col min="3" max="3" width="27.140625" customWidth="1"/>
  </cols>
  <sheetData>
    <row r="1" spans="1:3">
      <c r="A1" s="85" t="s">
        <v>411</v>
      </c>
      <c r="B1" s="85"/>
      <c r="C1" s="85"/>
    </row>
    <row r="2" spans="1:3">
      <c r="A2" s="85" t="s">
        <v>412</v>
      </c>
      <c r="B2" s="85"/>
      <c r="C2" s="85"/>
    </row>
    <row r="4" spans="1:3">
      <c r="C4" s="39" t="s">
        <v>413</v>
      </c>
    </row>
    <row r="5" spans="1:3">
      <c r="A5" s="58" t="s">
        <v>414</v>
      </c>
      <c r="B5" s="58" t="s">
        <v>415</v>
      </c>
      <c r="C5" s="58" t="s">
        <v>416</v>
      </c>
    </row>
    <row r="6" spans="1:3">
      <c r="A6" s="39" t="s">
        <v>21</v>
      </c>
      <c r="B6" s="39" t="s">
        <v>83</v>
      </c>
      <c r="C6" s="39" t="s">
        <v>128</v>
      </c>
    </row>
    <row r="7" spans="1:3">
      <c r="A7" s="39" t="s">
        <v>39</v>
      </c>
      <c r="B7" s="39" t="s">
        <v>106</v>
      </c>
      <c r="C7" s="39" t="s">
        <v>216</v>
      </c>
    </row>
    <row r="8" spans="1:3">
      <c r="A8" s="39" t="s">
        <v>151</v>
      </c>
      <c r="B8" s="39" t="s">
        <v>151</v>
      </c>
    </row>
    <row r="9" spans="1:3">
      <c r="A9" s="39" t="s">
        <v>175</v>
      </c>
      <c r="B9" s="39" t="s">
        <v>216</v>
      </c>
    </row>
    <row r="10" spans="1:3">
      <c r="A10" s="39" t="s">
        <v>185</v>
      </c>
      <c r="B10" s="39" t="s">
        <v>298</v>
      </c>
    </row>
    <row r="11" spans="1:3">
      <c r="A11" s="39" t="s">
        <v>193</v>
      </c>
      <c r="B11" s="39"/>
    </row>
    <row r="12" spans="1:3">
      <c r="A12" s="39" t="s">
        <v>273</v>
      </c>
      <c r="B12" s="39"/>
    </row>
    <row r="13" spans="1:3">
      <c r="A13" s="39" t="s">
        <v>316</v>
      </c>
    </row>
    <row r="15" spans="1:3">
      <c r="A15" s="15" t="s">
        <v>417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81ECC-9D8E-4968-B48B-F86B36932B51}">
  <dimension ref="A1:K36"/>
  <sheetViews>
    <sheetView workbookViewId="0">
      <selection activeCell="B24" sqref="B24"/>
    </sheetView>
  </sheetViews>
  <sheetFormatPr defaultColWidth="8.85546875" defaultRowHeight="15"/>
  <cols>
    <col min="1" max="1" width="20" customWidth="1"/>
    <col min="2" max="2" width="21.42578125" customWidth="1"/>
    <col min="3" max="3" width="20.42578125" customWidth="1"/>
  </cols>
  <sheetData>
    <row r="1" spans="1:8" ht="18.75">
      <c r="A1" s="86" t="s">
        <v>418</v>
      </c>
      <c r="B1" s="86"/>
      <c r="C1" s="86"/>
    </row>
    <row r="2" spans="1:8" ht="18.75">
      <c r="A2" s="86" t="s">
        <v>419</v>
      </c>
      <c r="B2" s="86"/>
      <c r="C2" s="86"/>
    </row>
    <row r="3" spans="1:8" ht="18.75">
      <c r="A3" s="87" t="s">
        <v>528</v>
      </c>
      <c r="B3" s="87"/>
      <c r="C3" s="87"/>
    </row>
    <row r="4" spans="1:8">
      <c r="C4" s="39"/>
      <c r="E4" s="39"/>
    </row>
    <row r="5" spans="1:8">
      <c r="B5" s="39" t="s">
        <v>420</v>
      </c>
    </row>
    <row r="6" spans="1:8" ht="18.75">
      <c r="A6" s="68"/>
      <c r="B6" s="39" t="s">
        <v>421</v>
      </c>
    </row>
    <row r="7" spans="1:8">
      <c r="B7" s="69">
        <v>100</v>
      </c>
      <c r="C7" s="39" t="s">
        <v>422</v>
      </c>
    </row>
    <row r="8" spans="1:8">
      <c r="A8" s="58" t="s">
        <v>423</v>
      </c>
      <c r="B8" s="58" t="s">
        <v>529</v>
      </c>
      <c r="C8" s="58" t="s">
        <v>424</v>
      </c>
    </row>
    <row r="9" spans="1:8">
      <c r="A9" t="s">
        <v>425</v>
      </c>
      <c r="B9" s="70">
        <f>4*5+B7*0.07+B7*0.07+4*0.02</f>
        <v>34.08</v>
      </c>
      <c r="C9" s="61">
        <f t="shared" ref="C9:C18" si="0">B9/$B$7</f>
        <v>0.34079999999999999</v>
      </c>
      <c r="D9" s="71"/>
      <c r="E9" s="71"/>
      <c r="F9" s="71"/>
    </row>
    <row r="10" spans="1:8">
      <c r="A10" t="s">
        <v>426</v>
      </c>
      <c r="B10" s="70">
        <f>4*4+4*1.5+B7*0.06+4*0.05</f>
        <v>28.2</v>
      </c>
      <c r="C10" s="61">
        <f t="shared" si="0"/>
        <v>0.28199999999999997</v>
      </c>
      <c r="F10" s="71"/>
    </row>
    <row r="11" spans="1:8">
      <c r="A11" t="s">
        <v>427</v>
      </c>
      <c r="B11" s="70">
        <f>B7*0.07+B7*0.0625+1.75*4+4*0.45+4*0.03</f>
        <v>22.17</v>
      </c>
      <c r="C11" s="61">
        <f t="shared" si="0"/>
        <v>0.22170000000000001</v>
      </c>
      <c r="F11" s="71"/>
    </row>
    <row r="12" spans="1:8">
      <c r="A12" t="s">
        <v>428</v>
      </c>
      <c r="B12" s="70">
        <f>B7*8.625%+B7*7.08%+4*1.3+4*0.03</f>
        <v>21.025000000000002</v>
      </c>
      <c r="C12" s="61">
        <f t="shared" si="0"/>
        <v>0.21025000000000002</v>
      </c>
      <c r="F12" s="71"/>
    </row>
    <row r="13" spans="1:8">
      <c r="A13" t="s">
        <v>429</v>
      </c>
      <c r="B13" s="70">
        <f>B7*0.1025+B7*0.06+0.95*4+4*0.24</f>
        <v>21.01</v>
      </c>
      <c r="C13" s="61">
        <f t="shared" si="0"/>
        <v>0.21010000000000001</v>
      </c>
      <c r="F13" s="71"/>
    </row>
    <row r="14" spans="1:8">
      <c r="A14" t="s">
        <v>430</v>
      </c>
      <c r="B14" s="70">
        <f>B7*0.08875+B7*0.0362+B7*0.84*0.0235+1.5*4</f>
        <v>20.469000000000001</v>
      </c>
      <c r="C14" s="61">
        <f t="shared" si="0"/>
        <v>0.20469000000000001</v>
      </c>
      <c r="F14" s="71"/>
      <c r="G14" s="72"/>
      <c r="H14" s="72"/>
    </row>
    <row r="15" spans="1:8">
      <c r="A15" t="s">
        <v>431</v>
      </c>
      <c r="B15" s="70">
        <f>B7*0.08+B7*0.05+1.65*4</f>
        <v>19.600000000000001</v>
      </c>
      <c r="C15" s="61">
        <f t="shared" si="0"/>
        <v>0.19600000000000001</v>
      </c>
      <c r="F15" s="71"/>
      <c r="H15" s="24"/>
    </row>
    <row r="16" spans="1:8">
      <c r="A16" t="s">
        <v>432</v>
      </c>
      <c r="B16" s="70">
        <f>B7*0.0775+B7*0.035+4*0.96+4*0.52+4*0.34</f>
        <v>18.53</v>
      </c>
      <c r="C16" s="61">
        <f t="shared" si="0"/>
        <v>0.18530000000000002</v>
      </c>
      <c r="F16" s="71"/>
      <c r="H16" s="24"/>
    </row>
    <row r="17" spans="1:11">
      <c r="A17" t="s">
        <v>433</v>
      </c>
      <c r="B17" s="70">
        <f>B7*0.12+4*1.25</f>
        <v>17</v>
      </c>
      <c r="C17" s="61">
        <f t="shared" si="0"/>
        <v>0.17</v>
      </c>
      <c r="F17" s="71"/>
    </row>
    <row r="18" spans="1:11">
      <c r="A18" t="s">
        <v>434</v>
      </c>
      <c r="B18" s="70">
        <f>B7*0.0744+B7*0.069+0.4*4</f>
        <v>15.94</v>
      </c>
      <c r="C18" s="61">
        <f t="shared" si="0"/>
        <v>0.15939999999999999</v>
      </c>
      <c r="F18" s="71"/>
      <c r="G18" s="24"/>
      <c r="H18" s="24"/>
    </row>
    <row r="19" spans="1:11">
      <c r="F19" s="17"/>
      <c r="G19" s="24"/>
      <c r="H19" s="24"/>
    </row>
    <row r="21" spans="1:11">
      <c r="B21" s="39" t="s">
        <v>435</v>
      </c>
      <c r="F21" s="17"/>
      <c r="G21" s="24"/>
      <c r="H21" s="24"/>
      <c r="I21" s="24"/>
      <c r="K21" s="24"/>
    </row>
    <row r="22" spans="1:11">
      <c r="B22" s="39" t="s">
        <v>421</v>
      </c>
    </row>
    <row r="23" spans="1:11">
      <c r="B23" s="70">
        <v>35.74</v>
      </c>
      <c r="C23" s="39" t="s">
        <v>422</v>
      </c>
      <c r="F23" s="71"/>
      <c r="H23" s="73"/>
      <c r="K23" s="24"/>
    </row>
    <row r="24" spans="1:11">
      <c r="A24" s="58" t="s">
        <v>423</v>
      </c>
      <c r="B24" s="58" t="s">
        <v>529</v>
      </c>
      <c r="C24" s="58" t="s">
        <v>424</v>
      </c>
      <c r="F24" s="58"/>
      <c r="G24" s="58"/>
      <c r="H24" s="71"/>
    </row>
    <row r="25" spans="1:11">
      <c r="A25" t="s">
        <v>425</v>
      </c>
      <c r="B25" s="70">
        <f>5+B23*0.07+B23*0.07</f>
        <v>10.0036</v>
      </c>
      <c r="C25" s="74">
        <f t="shared" ref="C25:C34" si="1">B25/$B$23</f>
        <v>0.27989927252378288</v>
      </c>
      <c r="F25" s="71"/>
      <c r="G25" s="71"/>
      <c r="H25" s="71"/>
    </row>
    <row r="26" spans="1:11">
      <c r="A26" t="s">
        <v>426</v>
      </c>
      <c r="B26" s="70">
        <f>B23*0.06+4+1.5+0.05</f>
        <v>7.6943999999999999</v>
      </c>
      <c r="C26" s="74">
        <f t="shared" si="1"/>
        <v>0.21528819250139897</v>
      </c>
      <c r="F26" s="71"/>
      <c r="G26" s="71"/>
    </row>
    <row r="27" spans="1:11">
      <c r="A27" t="s">
        <v>429</v>
      </c>
      <c r="B27" s="70">
        <f>B23*0.1025+B23*0.06+0.95*1+0.24</f>
        <v>6.9977500000000008</v>
      </c>
      <c r="C27" s="74">
        <f t="shared" si="1"/>
        <v>0.19579602686066033</v>
      </c>
      <c r="F27" s="71"/>
      <c r="G27" s="71"/>
    </row>
    <row r="28" spans="1:11">
      <c r="A28" t="s">
        <v>427</v>
      </c>
      <c r="B28" s="70">
        <f>B23*0.07+B23*0.0625+1.75+1*0.45+0.03</f>
        <v>6.9655500000000004</v>
      </c>
      <c r="C28" s="74">
        <f t="shared" si="1"/>
        <v>0.19489507554560717</v>
      </c>
      <c r="F28" s="72"/>
      <c r="G28" s="71"/>
      <c r="H28" s="75"/>
    </row>
    <row r="29" spans="1:11">
      <c r="A29" t="s">
        <v>428</v>
      </c>
      <c r="B29" s="70">
        <f>B23*0.08625+B23*7.08%+1.3+0.03</f>
        <v>6.9429670000000003</v>
      </c>
      <c r="C29" s="74">
        <f t="shared" si="1"/>
        <v>0.19426320649132625</v>
      </c>
      <c r="F29" s="72"/>
      <c r="G29" s="24"/>
      <c r="H29" s="71"/>
    </row>
    <row r="30" spans="1:11">
      <c r="A30" t="s">
        <v>430</v>
      </c>
      <c r="B30" s="70">
        <f>B23*0.08875+B23*0.0362+B23*0.84*0.0235+1.5*1</f>
        <v>6.6712205999999998</v>
      </c>
      <c r="C30" s="74">
        <f t="shared" si="1"/>
        <v>0.18665978175713485</v>
      </c>
      <c r="F30" s="72"/>
      <c r="H30" s="71"/>
    </row>
    <row r="31" spans="1:11">
      <c r="A31" t="s">
        <v>431</v>
      </c>
      <c r="B31" s="70">
        <f>B23*0.08+B23*0.05+1.65</f>
        <v>6.2962000000000007</v>
      </c>
      <c r="C31" s="74">
        <f t="shared" si="1"/>
        <v>0.17616675993284836</v>
      </c>
      <c r="F31" s="72"/>
      <c r="G31" s="24"/>
      <c r="H31" s="71"/>
      <c r="I31" s="24"/>
      <c r="K31" s="24"/>
    </row>
    <row r="32" spans="1:11">
      <c r="A32" t="s">
        <v>432</v>
      </c>
      <c r="B32" s="70">
        <f>B23*7.75%+B23*3.5%+0.96+0.52+0.36</f>
        <v>5.8607500000000003</v>
      </c>
      <c r="C32" s="74">
        <f t="shared" si="1"/>
        <v>0.1639829322887521</v>
      </c>
      <c r="F32" s="71"/>
      <c r="G32" s="71"/>
      <c r="H32" s="71"/>
      <c r="K32" s="24"/>
    </row>
    <row r="33" spans="1:11">
      <c r="A33" t="s">
        <v>433</v>
      </c>
      <c r="B33" s="70">
        <f>B23*0.12+1.25</f>
        <v>5.5388000000000002</v>
      </c>
      <c r="C33" s="74">
        <f t="shared" si="1"/>
        <v>0.15497481813094571</v>
      </c>
      <c r="G33" s="24"/>
      <c r="H33" s="71"/>
      <c r="I33" s="24"/>
      <c r="J33" s="24"/>
      <c r="K33" s="24"/>
    </row>
    <row r="34" spans="1:11">
      <c r="A34" t="s">
        <v>434</v>
      </c>
      <c r="B34" s="70">
        <f>B23*0.0744+B23*0.069+0.4</f>
        <v>5.5251160000000006</v>
      </c>
      <c r="C34" s="74">
        <f t="shared" si="1"/>
        <v>0.15459194180190264</v>
      </c>
    </row>
    <row r="36" spans="1:11">
      <c r="B36" s="70"/>
      <c r="C36" s="7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B469E-A3D8-46B2-A76E-4DD23129CF9A}">
  <dimension ref="A1:J75"/>
  <sheetViews>
    <sheetView workbookViewId="0">
      <selection sqref="A1:F1"/>
    </sheetView>
  </sheetViews>
  <sheetFormatPr defaultRowHeight="15"/>
  <cols>
    <col min="1" max="1" width="9.140625" style="39"/>
    <col min="2" max="2" width="23.5703125" customWidth="1"/>
    <col min="3" max="3" width="14.7109375" style="39" customWidth="1"/>
    <col min="4" max="5" width="12.5703125" customWidth="1"/>
    <col min="6" max="6" width="14.7109375" customWidth="1"/>
    <col min="7" max="7" width="10.42578125" customWidth="1"/>
    <col min="8" max="8" width="10.140625" customWidth="1"/>
    <col min="9" max="9" width="10.85546875" customWidth="1"/>
    <col min="10" max="10" width="11.140625" customWidth="1"/>
  </cols>
  <sheetData>
    <row r="1" spans="1:10" ht="18.75">
      <c r="A1" s="88" t="s">
        <v>531</v>
      </c>
      <c r="B1" s="88"/>
      <c r="C1" s="88"/>
      <c r="D1" s="88"/>
      <c r="E1" s="88"/>
      <c r="F1" s="88"/>
    </row>
    <row r="2" spans="1:10" ht="15.6" customHeight="1">
      <c r="A2" s="84" t="s">
        <v>436</v>
      </c>
      <c r="B2" s="84"/>
      <c r="C2" s="84"/>
      <c r="D2" s="84"/>
      <c r="E2" s="84"/>
      <c r="F2" s="84"/>
    </row>
    <row r="4" spans="1:10">
      <c r="E4" s="39" t="s">
        <v>437</v>
      </c>
    </row>
    <row r="5" spans="1:10">
      <c r="D5" s="76" t="s">
        <v>437</v>
      </c>
      <c r="E5" s="39" t="s">
        <v>438</v>
      </c>
      <c r="F5" s="39" t="s">
        <v>439</v>
      </c>
    </row>
    <row r="6" spans="1:10">
      <c r="D6" s="39" t="s">
        <v>440</v>
      </c>
      <c r="E6" s="39" t="s">
        <v>379</v>
      </c>
      <c r="F6" s="39" t="s">
        <v>441</v>
      </c>
    </row>
    <row r="7" spans="1:10">
      <c r="C7" s="39" t="s">
        <v>437</v>
      </c>
      <c r="D7" s="39" t="s">
        <v>379</v>
      </c>
      <c r="E7" s="39" t="s">
        <v>442</v>
      </c>
      <c r="F7" s="39" t="s">
        <v>443</v>
      </c>
    </row>
    <row r="8" spans="1:10">
      <c r="C8" s="39" t="s">
        <v>440</v>
      </c>
      <c r="D8" s="39" t="s">
        <v>444</v>
      </c>
      <c r="E8" s="39" t="s">
        <v>445</v>
      </c>
      <c r="F8" s="39" t="s">
        <v>379</v>
      </c>
    </row>
    <row r="9" spans="1:10">
      <c r="A9" s="39" t="s">
        <v>446</v>
      </c>
      <c r="C9" s="39" t="s">
        <v>379</v>
      </c>
      <c r="D9" s="39" t="s">
        <v>447</v>
      </c>
      <c r="E9" s="39" t="s">
        <v>448</v>
      </c>
      <c r="F9" s="39" t="s">
        <v>449</v>
      </c>
    </row>
    <row r="10" spans="1:10">
      <c r="A10" s="58" t="s">
        <v>450</v>
      </c>
      <c r="B10" s="58" t="s">
        <v>446</v>
      </c>
      <c r="C10" s="58" t="s">
        <v>451</v>
      </c>
      <c r="D10" s="58" t="s">
        <v>452</v>
      </c>
      <c r="E10" s="58" t="s">
        <v>453</v>
      </c>
      <c r="F10" s="58" t="s">
        <v>424</v>
      </c>
    </row>
    <row r="11" spans="1:10">
      <c r="A11" s="39">
        <v>1</v>
      </c>
      <c r="B11" s="77" t="s">
        <v>454</v>
      </c>
      <c r="C11" s="24">
        <v>5.5758197099999993</v>
      </c>
      <c r="D11" s="17">
        <v>0.32645035411289808</v>
      </c>
      <c r="E11" s="17">
        <v>0.15601062423055398</v>
      </c>
      <c r="F11" s="17">
        <v>0.22649412423055398</v>
      </c>
      <c r="G11" s="24"/>
      <c r="H11" s="82"/>
      <c r="I11" s="17"/>
      <c r="J11" s="17"/>
    </row>
    <row r="12" spans="1:10">
      <c r="A12" s="39">
        <v>2</v>
      </c>
      <c r="B12" s="77" t="s">
        <v>455</v>
      </c>
      <c r="C12" s="24">
        <v>4.4931193450000002</v>
      </c>
      <c r="D12" s="17">
        <v>0.26306094485375009</v>
      </c>
      <c r="E12" s="17">
        <v>0.12571682554560717</v>
      </c>
      <c r="F12" s="17">
        <v>0.1948950755456072</v>
      </c>
      <c r="G12" s="24"/>
      <c r="H12" s="17"/>
      <c r="I12" s="17"/>
      <c r="J12" s="17"/>
    </row>
    <row r="13" spans="1:10">
      <c r="A13" s="39">
        <v>3</v>
      </c>
      <c r="B13" s="77" t="s">
        <v>456</v>
      </c>
      <c r="C13" s="24">
        <v>4.4548087599999997</v>
      </c>
      <c r="D13" s="17">
        <v>0.26081795553738241</v>
      </c>
      <c r="E13" s="17">
        <v>0.12464490095131504</v>
      </c>
      <c r="F13" s="17">
        <v>0.15583100167879127</v>
      </c>
      <c r="G13" s="24"/>
      <c r="H13" s="17"/>
      <c r="I13" s="17"/>
      <c r="J13" s="17"/>
    </row>
    <row r="14" spans="1:10">
      <c r="A14" s="39">
        <v>4</v>
      </c>
      <c r="B14" s="77" t="s">
        <v>458</v>
      </c>
      <c r="C14" s="24">
        <v>4.2401995598999997</v>
      </c>
      <c r="D14" s="17">
        <v>0.24825312148385617</v>
      </c>
      <c r="E14" s="17">
        <v>0.11864016675713485</v>
      </c>
      <c r="F14" s="17">
        <v>0.18881978175713487</v>
      </c>
      <c r="G14" s="24"/>
      <c r="H14" s="17"/>
      <c r="I14" s="17"/>
      <c r="J14" s="17"/>
    </row>
    <row r="15" spans="1:10">
      <c r="A15" s="39">
        <v>5</v>
      </c>
      <c r="B15" s="77" t="s">
        <v>459</v>
      </c>
      <c r="C15" s="24">
        <v>4.1491352945000006</v>
      </c>
      <c r="D15" s="17">
        <v>0.24292153559460211</v>
      </c>
      <c r="E15" s="17">
        <v>0.11609220186066034</v>
      </c>
      <c r="F15" s="17">
        <v>0.20654602686066034</v>
      </c>
      <c r="G15" s="24"/>
      <c r="H15" s="17"/>
      <c r="I15" s="17"/>
      <c r="J15" s="17"/>
    </row>
    <row r="16" spans="1:10">
      <c r="A16" s="39">
        <v>6</v>
      </c>
      <c r="B16" s="77" t="s">
        <v>457</v>
      </c>
      <c r="C16" s="24">
        <v>4.1078722450750007</v>
      </c>
      <c r="D16" s="17">
        <v>0.24050568684102588</v>
      </c>
      <c r="E16" s="17">
        <v>0.11493766774132626</v>
      </c>
      <c r="F16" s="17">
        <v>0.19985070649132627</v>
      </c>
      <c r="G16" s="24"/>
      <c r="H16" s="17"/>
    </row>
    <row r="17" spans="1:10">
      <c r="A17" s="39">
        <v>7</v>
      </c>
      <c r="B17" s="77" t="s">
        <v>460</v>
      </c>
      <c r="C17" s="24">
        <v>3.8400000000000003</v>
      </c>
      <c r="D17" s="17">
        <v>0.22482243418762349</v>
      </c>
      <c r="E17" s="17">
        <v>0.10744264129826525</v>
      </c>
      <c r="F17" s="17">
        <v>0.10744264129826525</v>
      </c>
      <c r="G17" s="24"/>
      <c r="H17" s="17"/>
      <c r="I17" s="17"/>
      <c r="J17" s="17"/>
    </row>
    <row r="18" spans="1:10">
      <c r="A18" s="39">
        <v>8</v>
      </c>
      <c r="B18" s="77" t="s">
        <v>461</v>
      </c>
      <c r="C18" s="24">
        <v>3.6996175199999999</v>
      </c>
      <c r="D18" s="17">
        <v>0.21660338968999446</v>
      </c>
      <c r="E18" s="17">
        <v>0.10351475993284834</v>
      </c>
      <c r="F18" s="17">
        <v>0.16616675993284835</v>
      </c>
      <c r="G18" s="24"/>
      <c r="H18" s="17"/>
      <c r="I18" s="17"/>
      <c r="J18" s="17"/>
    </row>
    <row r="19" spans="1:10">
      <c r="A19" s="39">
        <v>9</v>
      </c>
      <c r="B19" s="77" t="s">
        <v>462</v>
      </c>
      <c r="C19" s="24">
        <v>3.69881606</v>
      </c>
      <c r="D19" s="17">
        <v>0.21655646620350905</v>
      </c>
      <c r="E19" s="17">
        <v>0.10349233519865696</v>
      </c>
      <c r="F19" s="17">
        <v>0.1614829322887521</v>
      </c>
      <c r="G19" s="24"/>
      <c r="H19" s="17"/>
      <c r="I19" s="17"/>
      <c r="J19" s="17"/>
    </row>
    <row r="20" spans="1:10">
      <c r="A20" s="39">
        <v>10</v>
      </c>
      <c r="B20" s="77" t="s">
        <v>463</v>
      </c>
      <c r="C20" s="24">
        <v>3.6953142349999997</v>
      </c>
      <c r="D20" s="17">
        <v>0.21635144307314469</v>
      </c>
      <c r="E20" s="17">
        <v>0.10339435464465584</v>
      </c>
      <c r="F20" s="17">
        <v>0.15429910464465585</v>
      </c>
      <c r="G20" s="24"/>
      <c r="H20" s="17"/>
      <c r="I20" s="17"/>
      <c r="J20" s="17"/>
    </row>
    <row r="21" spans="1:10">
      <c r="A21" s="39">
        <v>11</v>
      </c>
      <c r="B21" s="77" t="s">
        <v>464</v>
      </c>
      <c r="C21" s="24">
        <v>3.5509684683095997</v>
      </c>
      <c r="D21" s="17">
        <v>0.20790035801272425</v>
      </c>
      <c r="E21" s="17">
        <v>9.9355581094280901E-2</v>
      </c>
      <c r="F21" s="17">
        <v>0.18038946905428091</v>
      </c>
      <c r="G21" s="24"/>
      <c r="H21" s="17"/>
      <c r="I21" s="17"/>
      <c r="J21" s="17"/>
    </row>
    <row r="22" spans="1:10">
      <c r="A22" s="39">
        <v>12</v>
      </c>
      <c r="B22" s="77" t="s">
        <v>465</v>
      </c>
      <c r="C22" s="24">
        <v>3.4613448334000001</v>
      </c>
      <c r="D22" s="17">
        <v>0.20265311744993281</v>
      </c>
      <c r="E22" s="17">
        <v>9.684792482932289E-2</v>
      </c>
      <c r="F22" s="17">
        <v>0.14274051482932287</v>
      </c>
      <c r="G22" s="24"/>
      <c r="H22" s="17"/>
      <c r="I22" s="17"/>
      <c r="J22" s="17"/>
    </row>
    <row r="23" spans="1:10">
      <c r="A23" s="39">
        <v>13</v>
      </c>
      <c r="B23" s="77" t="s">
        <v>473</v>
      </c>
      <c r="C23" s="24">
        <v>3.3539393136599998</v>
      </c>
      <c r="D23" s="17">
        <v>0.19636479182672092</v>
      </c>
      <c r="E23" s="17">
        <v>9.3842734013989917E-2</v>
      </c>
      <c r="F23" s="17">
        <v>0.13859192501398993</v>
      </c>
      <c r="G23" s="24"/>
      <c r="H23" s="17"/>
      <c r="I23" s="17"/>
      <c r="J23" s="17"/>
    </row>
    <row r="24" spans="1:10">
      <c r="A24" s="39">
        <v>14</v>
      </c>
      <c r="B24" s="77" t="s">
        <v>466</v>
      </c>
      <c r="C24" s="24">
        <v>3.29961752</v>
      </c>
      <c r="D24" s="17">
        <v>0.19318438612878369</v>
      </c>
      <c r="E24" s="17">
        <v>9.2322818130945714E-2</v>
      </c>
      <c r="F24" s="17">
        <v>0.15497481813094571</v>
      </c>
      <c r="G24" s="24"/>
      <c r="H24" s="17"/>
      <c r="I24" s="17"/>
      <c r="J24" s="17"/>
    </row>
    <row r="25" spans="1:10">
      <c r="A25" s="39">
        <v>15</v>
      </c>
      <c r="B25" s="77" t="s">
        <v>467</v>
      </c>
      <c r="C25" s="24">
        <v>3.2095304477509998</v>
      </c>
      <c r="D25" s="17">
        <v>0.18791001246423772</v>
      </c>
      <c r="E25" s="17">
        <v>8.9802194956659198E-2</v>
      </c>
      <c r="F25" s="17">
        <v>0.1451152963066592</v>
      </c>
      <c r="G25" s="24"/>
      <c r="H25" s="17"/>
      <c r="I25" s="17"/>
      <c r="J25" s="17"/>
    </row>
    <row r="26" spans="1:10">
      <c r="A26" s="39">
        <v>16</v>
      </c>
      <c r="B26" s="77" t="s">
        <v>468</v>
      </c>
      <c r="C26" s="24">
        <v>3.1226138699999999</v>
      </c>
      <c r="D26" s="17">
        <v>0.18282126335454041</v>
      </c>
      <c r="E26" s="17">
        <v>8.7370281757134849E-2</v>
      </c>
      <c r="F26" s="17">
        <v>0.13696978175713487</v>
      </c>
      <c r="G26" s="24"/>
      <c r="H26" s="17"/>
      <c r="I26" s="17"/>
      <c r="J26" s="17"/>
    </row>
    <row r="27" spans="1:10">
      <c r="A27" s="39">
        <v>17</v>
      </c>
      <c r="B27" s="77" t="s">
        <v>472</v>
      </c>
      <c r="C27" s="24">
        <v>3.0748148838840001</v>
      </c>
      <c r="D27" s="17">
        <v>0.18002275178935825</v>
      </c>
      <c r="E27" s="17">
        <v>8.6032873080134298E-2</v>
      </c>
      <c r="F27" s="17">
        <v>0.13096166648013427</v>
      </c>
      <c r="G27" s="24"/>
      <c r="H27" s="17"/>
      <c r="I27" s="17"/>
      <c r="J27" s="17"/>
    </row>
    <row r="28" spans="1:10">
      <c r="A28" s="39">
        <v>18</v>
      </c>
      <c r="B28" s="77" t="s">
        <v>469</v>
      </c>
      <c r="C28" s="24">
        <v>2.9972024846772003</v>
      </c>
      <c r="D28" s="17">
        <v>0.17547873915581286</v>
      </c>
      <c r="E28" s="17">
        <v>8.3861289442562964E-2</v>
      </c>
      <c r="F28" s="17">
        <v>0.12323878757694462</v>
      </c>
      <c r="G28" s="24"/>
      <c r="H28" s="17"/>
      <c r="I28" s="17"/>
      <c r="J28" s="17"/>
    </row>
    <row r="29" spans="1:10">
      <c r="A29" s="39">
        <v>19</v>
      </c>
      <c r="B29" s="77" t="s">
        <v>470</v>
      </c>
      <c r="C29" s="24">
        <v>2.9792650370000002</v>
      </c>
      <c r="D29" s="17">
        <v>0.17442854627823443</v>
      </c>
      <c r="E29" s="17">
        <v>8.3359402266368218E-2</v>
      </c>
      <c r="F29" s="17">
        <v>9.9972859541130388E-2</v>
      </c>
      <c r="G29" s="24"/>
      <c r="H29" s="17"/>
      <c r="I29" s="17"/>
      <c r="J29" s="17"/>
    </row>
    <row r="30" spans="1:10">
      <c r="A30" s="39">
        <v>20</v>
      </c>
      <c r="B30" s="77" t="s">
        <v>474</v>
      </c>
      <c r="C30" s="24">
        <v>2.8848087600000003</v>
      </c>
      <c r="D30" s="17">
        <v>0.16889836655963014</v>
      </c>
      <c r="E30" s="17">
        <v>8.071652937884724E-2</v>
      </c>
      <c r="F30" s="17">
        <v>0.11204252937884723</v>
      </c>
      <c r="G30" s="24"/>
      <c r="H30" s="17"/>
      <c r="I30" s="17"/>
      <c r="J30" s="17"/>
    </row>
    <row r="31" spans="1:10">
      <c r="A31" s="39">
        <v>21</v>
      </c>
      <c r="B31" s="77" t="s">
        <v>471</v>
      </c>
      <c r="C31" s="24">
        <v>2.8799362500000001</v>
      </c>
      <c r="D31" s="17">
        <v>0.16861309323702503</v>
      </c>
      <c r="E31" s="17">
        <v>8.0580197257974259E-2</v>
      </c>
      <c r="F31" s="17">
        <v>0.12276161163961949</v>
      </c>
      <c r="G31" s="24"/>
      <c r="H31" s="17"/>
      <c r="I31" s="17"/>
      <c r="J31" s="17"/>
    </row>
    <row r="32" spans="1:10">
      <c r="A32" s="39">
        <v>22</v>
      </c>
      <c r="B32" s="77" t="s">
        <v>475</v>
      </c>
      <c r="C32" s="24">
        <v>2.774140294</v>
      </c>
      <c r="D32" s="17">
        <v>0.16241900356121078</v>
      </c>
      <c r="E32" s="17">
        <v>7.7620041801902628E-2</v>
      </c>
      <c r="F32" s="17">
        <v>0.15019194180190265</v>
      </c>
      <c r="G32" s="24"/>
      <c r="H32" s="17"/>
      <c r="I32" s="17"/>
      <c r="J32" s="17"/>
    </row>
    <row r="33" spans="1:10">
      <c r="A33" s="39">
        <v>23</v>
      </c>
      <c r="B33" s="77" t="s">
        <v>478</v>
      </c>
      <c r="C33" s="24">
        <v>2.6203192167408602</v>
      </c>
      <c r="D33" s="17">
        <v>0.1534131626709081</v>
      </c>
      <c r="E33" s="17">
        <v>7.3316150440426969E-2</v>
      </c>
      <c r="F33" s="17">
        <v>0.14424286635142697</v>
      </c>
      <c r="G33" s="24"/>
      <c r="H33" s="17"/>
      <c r="I33" s="17"/>
      <c r="J33" s="17"/>
    </row>
    <row r="34" spans="1:10">
      <c r="A34" s="39">
        <v>24</v>
      </c>
      <c r="B34" s="78" t="s">
        <v>477</v>
      </c>
      <c r="C34" s="24">
        <v>2.6135502144926002</v>
      </c>
      <c r="D34" s="17">
        <v>0.1530168544515135</v>
      </c>
      <c r="E34" s="17">
        <v>7.3126754742378286E-2</v>
      </c>
      <c r="F34" s="17">
        <v>0.13773302725237829</v>
      </c>
      <c r="G34" s="24"/>
      <c r="H34" s="17"/>
      <c r="I34" s="17"/>
      <c r="J34" s="17"/>
    </row>
    <row r="35" spans="1:10">
      <c r="A35" s="39">
        <v>25</v>
      </c>
      <c r="B35" s="77" t="s">
        <v>479</v>
      </c>
      <c r="C35" s="24">
        <v>2.56842695475</v>
      </c>
      <c r="D35" s="17">
        <v>0.15037500000000001</v>
      </c>
      <c r="E35" s="17">
        <v>7.1864212499999996E-2</v>
      </c>
      <c r="F35" s="17">
        <v>0.15037500000000001</v>
      </c>
      <c r="G35" s="24"/>
      <c r="H35" s="17"/>
      <c r="I35" s="17"/>
      <c r="J35" s="17"/>
    </row>
    <row r="36" spans="1:10">
      <c r="A36" s="39">
        <v>26</v>
      </c>
      <c r="B36" s="77" t="s">
        <v>480</v>
      </c>
      <c r="C36" s="24">
        <v>2.5675091249999999</v>
      </c>
      <c r="D36" s="17">
        <v>0.15032126335454041</v>
      </c>
      <c r="E36" s="17">
        <v>7.1838531757134852E-2</v>
      </c>
      <c r="F36" s="17">
        <v>0.10446978175713487</v>
      </c>
      <c r="G36" s="24"/>
      <c r="H36" s="17"/>
      <c r="I36" s="17"/>
      <c r="J36" s="17"/>
    </row>
    <row r="37" spans="1:10">
      <c r="A37" s="39">
        <v>27</v>
      </c>
      <c r="B37" s="77" t="s">
        <v>481</v>
      </c>
      <c r="C37" s="24">
        <v>2.5594629659677994</v>
      </c>
      <c r="D37" s="17">
        <v>0.14985018078696749</v>
      </c>
      <c r="E37" s="17">
        <v>7.1613401398091747E-2</v>
      </c>
      <c r="F37" s="17">
        <v>0.12998120542809175</v>
      </c>
      <c r="G37" s="24"/>
      <c r="H37" s="17"/>
      <c r="I37" s="17"/>
      <c r="J37" s="17"/>
    </row>
    <row r="38" spans="1:10">
      <c r="A38" s="39">
        <v>28</v>
      </c>
      <c r="B38" s="77" t="s">
        <v>476</v>
      </c>
      <c r="C38" s="24">
        <v>2.4809059154113422</v>
      </c>
      <c r="D38" s="17">
        <v>0.14525086117011776</v>
      </c>
      <c r="E38" s="17">
        <v>6.9415386553199274E-2</v>
      </c>
      <c r="F38" s="17">
        <v>0.11376617713989927</v>
      </c>
      <c r="G38" s="24"/>
      <c r="H38" s="17"/>
      <c r="I38" s="17"/>
      <c r="J38" s="17"/>
    </row>
    <row r="39" spans="1:10">
      <c r="A39" s="39">
        <v>29</v>
      </c>
      <c r="B39" s="77" t="s">
        <v>483</v>
      </c>
      <c r="C39" s="24">
        <v>2.4680146000000001</v>
      </c>
      <c r="D39" s="17">
        <v>0.14449610676630048</v>
      </c>
      <c r="E39" s="17">
        <v>6.9054689423614993E-2</v>
      </c>
      <c r="F39" s="17">
        <v>0.121264689423615</v>
      </c>
      <c r="G39" s="24"/>
      <c r="H39" s="17"/>
      <c r="I39" s="17"/>
      <c r="J39" s="17"/>
    </row>
    <row r="40" spans="1:10">
      <c r="A40" s="39">
        <v>30</v>
      </c>
      <c r="B40" s="77" t="s">
        <v>482</v>
      </c>
      <c r="C40" s="24">
        <v>2.3848087600000003</v>
      </c>
      <c r="D40" s="17">
        <v>0.13962461210811666</v>
      </c>
      <c r="E40" s="17">
        <v>6.6726602126468942E-2</v>
      </c>
      <c r="F40" s="17">
        <v>9.8052602126468949E-2</v>
      </c>
      <c r="G40" s="24"/>
      <c r="H40" s="17"/>
      <c r="I40" s="17"/>
      <c r="J40" s="17"/>
    </row>
    <row r="41" spans="1:10">
      <c r="A41" s="39">
        <v>31</v>
      </c>
      <c r="B41" s="77" t="s">
        <v>484</v>
      </c>
      <c r="C41" s="24">
        <v>2.3830528479999997</v>
      </c>
      <c r="D41" s="17">
        <v>0.1395218078346637</v>
      </c>
      <c r="E41" s="17">
        <v>6.6677471964185775E-2</v>
      </c>
      <c r="F41" s="17">
        <v>0.11262227196418578</v>
      </c>
      <c r="G41" s="24"/>
      <c r="H41" s="17"/>
      <c r="I41" s="17"/>
      <c r="J41" s="17"/>
    </row>
    <row r="42" spans="1:10">
      <c r="A42" s="39">
        <v>32</v>
      </c>
      <c r="B42" s="77" t="s">
        <v>486</v>
      </c>
      <c r="C42" s="24">
        <v>2.3236446355219997</v>
      </c>
      <c r="D42" s="17">
        <v>0.13604360498569507</v>
      </c>
      <c r="E42" s="17">
        <v>6.5015238822663676E-2</v>
      </c>
      <c r="F42" s="17">
        <v>0.11892571852266368</v>
      </c>
      <c r="G42" s="24"/>
      <c r="H42" s="17"/>
      <c r="I42" s="17"/>
      <c r="J42" s="17"/>
    </row>
    <row r="43" spans="1:10">
      <c r="A43" s="39">
        <v>33</v>
      </c>
      <c r="B43" s="77" t="s">
        <v>487</v>
      </c>
      <c r="C43" s="24">
        <v>2.2666976660000002</v>
      </c>
      <c r="D43" s="17">
        <v>0.13270950178060542</v>
      </c>
      <c r="E43" s="17">
        <v>6.3421870900951319E-2</v>
      </c>
      <c r="F43" s="17">
        <v>0.12659597090095132</v>
      </c>
      <c r="G43" s="24"/>
      <c r="H43" s="17"/>
      <c r="I43" s="17"/>
      <c r="J43" s="17"/>
    </row>
    <row r="44" spans="1:10">
      <c r="A44" s="39">
        <v>34</v>
      </c>
      <c r="B44" s="77" t="s">
        <v>488</v>
      </c>
      <c r="C44" s="24">
        <v>2.2456102200000001</v>
      </c>
      <c r="D44" s="17">
        <v>0.13147488434817831</v>
      </c>
      <c r="E44" s="17">
        <v>6.2831847229994409E-2</v>
      </c>
      <c r="F44" s="17">
        <v>9.9378847229994405E-2</v>
      </c>
      <c r="G44" s="24"/>
      <c r="H44" s="17"/>
      <c r="I44" s="17"/>
      <c r="J44" s="17"/>
    </row>
    <row r="45" spans="1:10">
      <c r="A45" s="39">
        <v>35</v>
      </c>
      <c r="B45" s="77" t="s">
        <v>489</v>
      </c>
      <c r="C45" s="24">
        <v>2.2256102199999996</v>
      </c>
      <c r="D45" s="17">
        <v>0.13030393417011774</v>
      </c>
      <c r="E45" s="17">
        <v>6.227225013989926E-2</v>
      </c>
      <c r="F45" s="17">
        <v>9.881925013989927E-2</v>
      </c>
      <c r="G45" s="24"/>
      <c r="H45" s="17"/>
      <c r="I45" s="17"/>
      <c r="J45" s="17"/>
    </row>
    <row r="46" spans="1:10">
      <c r="A46" s="39">
        <v>36</v>
      </c>
      <c r="B46" s="77" t="s">
        <v>485</v>
      </c>
      <c r="C46" s="24">
        <v>2.2178716069999997</v>
      </c>
      <c r="D46" s="17">
        <v>0.12985085765660317</v>
      </c>
      <c r="E46" s="17">
        <v>6.2055724874090647E-2</v>
      </c>
      <c r="F46" s="17">
        <v>0.10356267487409065</v>
      </c>
      <c r="G46" s="24"/>
      <c r="H46" s="17"/>
      <c r="I46" s="17"/>
      <c r="J46" s="17"/>
    </row>
    <row r="47" spans="1:10">
      <c r="A47" s="39">
        <v>37</v>
      </c>
      <c r="B47" s="77" t="s">
        <v>491</v>
      </c>
      <c r="C47" s="24">
        <v>2.1248087600000001</v>
      </c>
      <c r="D47" s="17">
        <v>0.12440225979332964</v>
      </c>
      <c r="E47" s="17">
        <v>5.9451839955232233E-2</v>
      </c>
      <c r="F47" s="17">
        <v>9.0777839955232226E-2</v>
      </c>
      <c r="G47" s="24"/>
      <c r="H47" s="17"/>
      <c r="I47" s="17"/>
      <c r="J47" s="17"/>
    </row>
    <row r="48" spans="1:10">
      <c r="A48" s="39">
        <v>38</v>
      </c>
      <c r="B48" s="77" t="s">
        <v>490</v>
      </c>
      <c r="C48" s="24">
        <v>2.0315596724999998</v>
      </c>
      <c r="D48" s="17">
        <v>0.11894275801272425</v>
      </c>
      <c r="E48" s="17">
        <v>5.6842744054280907E-2</v>
      </c>
      <c r="F48" s="17">
        <v>9.1431869054280912E-2</v>
      </c>
      <c r="G48" s="24"/>
      <c r="H48" s="17"/>
      <c r="I48" s="17"/>
      <c r="J48" s="17"/>
    </row>
    <row r="49" spans="1:10">
      <c r="A49" s="39">
        <v>39</v>
      </c>
      <c r="B49" s="77" t="s">
        <v>493</v>
      </c>
      <c r="C49" s="24">
        <v>2.0194801495179999</v>
      </c>
      <c r="D49" s="17">
        <v>0.11823553203339128</v>
      </c>
      <c r="E49" s="17">
        <v>5.650476075875769E-2</v>
      </c>
      <c r="F49" s="17">
        <v>9.4087085058757694E-2</v>
      </c>
      <c r="G49" s="24"/>
      <c r="H49" s="17"/>
      <c r="I49" s="17"/>
      <c r="J49" s="17"/>
    </row>
    <row r="50" spans="1:10">
      <c r="A50" s="39">
        <v>40</v>
      </c>
      <c r="B50" s="77" t="s">
        <v>492</v>
      </c>
      <c r="C50" s="24">
        <v>1.9846047100399999</v>
      </c>
      <c r="D50" s="17">
        <v>0.11619366193005611</v>
      </c>
      <c r="E50" s="17">
        <v>5.5528951036373807E-2</v>
      </c>
      <c r="F50" s="17">
        <v>7.5233005036373812E-2</v>
      </c>
      <c r="G50" s="24"/>
      <c r="H50" s="17"/>
      <c r="I50" s="17"/>
      <c r="J50" s="17"/>
    </row>
    <row r="51" spans="1:10">
      <c r="A51" s="39">
        <v>41</v>
      </c>
      <c r="B51" s="77" t="s">
        <v>494</v>
      </c>
      <c r="C51" s="24">
        <v>1.9456102200000001</v>
      </c>
      <c r="D51" s="17">
        <v>0.11391063167727021</v>
      </c>
      <c r="E51" s="17">
        <v>5.443789087856743E-2</v>
      </c>
      <c r="F51" s="17">
        <v>9.098489087856744E-2</v>
      </c>
      <c r="G51" s="24"/>
      <c r="H51" s="17"/>
      <c r="I51" s="17"/>
      <c r="J51" s="17"/>
    </row>
    <row r="52" spans="1:10">
      <c r="A52" s="39">
        <v>42</v>
      </c>
      <c r="B52" s="77" t="s">
        <v>495</v>
      </c>
      <c r="C52" s="24">
        <v>1.9256102200000003</v>
      </c>
      <c r="D52" s="17">
        <v>0.11273968149920968</v>
      </c>
      <c r="E52" s="17">
        <v>5.3878293788472302E-2</v>
      </c>
      <c r="F52" s="17">
        <v>9.0425293788472305E-2</v>
      </c>
      <c r="G52" s="24"/>
      <c r="H52" s="17"/>
      <c r="I52" s="17"/>
      <c r="J52" s="17"/>
    </row>
    <row r="53" spans="1:10">
      <c r="A53" s="39">
        <v>43</v>
      </c>
      <c r="B53" s="77" t="s">
        <v>496</v>
      </c>
      <c r="C53" s="24">
        <v>1.7940073000000001</v>
      </c>
      <c r="D53" s="17">
        <v>0.10503465836884533</v>
      </c>
      <c r="E53" s="17">
        <v>5.0196063234471178E-2</v>
      </c>
      <c r="F53" s="17">
        <v>7.2943480693900387E-2</v>
      </c>
      <c r="G53" s="24"/>
      <c r="H53" s="17"/>
      <c r="I53" s="17"/>
      <c r="J53" s="17"/>
    </row>
    <row r="54" spans="1:10">
      <c r="A54" s="39">
        <v>44</v>
      </c>
      <c r="B54" s="77" t="s">
        <v>497</v>
      </c>
      <c r="C54" s="24">
        <v>1.784589271</v>
      </c>
      <c r="D54" s="17">
        <v>0.10448325623211886</v>
      </c>
      <c r="E54" s="17">
        <v>4.9932548153329599E-2</v>
      </c>
      <c r="F54" s="17">
        <v>8.3085898153329604E-2</v>
      </c>
      <c r="G54" s="24"/>
      <c r="H54" s="17"/>
      <c r="I54" s="17"/>
      <c r="J54" s="17"/>
    </row>
    <row r="55" spans="1:10">
      <c r="A55" s="39">
        <v>45</v>
      </c>
      <c r="B55" s="77" t="s">
        <v>498</v>
      </c>
      <c r="C55" s="79">
        <v>1.740505475</v>
      </c>
      <c r="D55" s="17">
        <v>0.10190225979332963</v>
      </c>
      <c r="E55" s="17">
        <v>4.8699089955232228E-2</v>
      </c>
      <c r="F55" s="17">
        <v>6.8277839955232233E-2</v>
      </c>
      <c r="G55" s="79"/>
      <c r="H55" s="17"/>
      <c r="I55" s="17"/>
      <c r="J55" s="17"/>
    </row>
    <row r="56" spans="1:10">
      <c r="A56" s="39">
        <v>46</v>
      </c>
      <c r="B56" s="77" t="s">
        <v>499</v>
      </c>
      <c r="C56" s="24">
        <v>1.7376180162638915</v>
      </c>
      <c r="D56" s="17">
        <v>0.1017332062772702</v>
      </c>
      <c r="E56" s="17">
        <v>4.8618299279907427E-2</v>
      </c>
      <c r="F56" s="17">
        <v>7.8807465478567429E-2</v>
      </c>
      <c r="G56" s="24"/>
      <c r="H56" s="17"/>
      <c r="I56" s="17"/>
      <c r="J56" s="17"/>
    </row>
    <row r="57" spans="1:10">
      <c r="A57" s="39">
        <v>47</v>
      </c>
      <c r="B57" s="77" t="s">
        <v>500</v>
      </c>
      <c r="C57" s="24">
        <v>1.692025121685</v>
      </c>
      <c r="D57" s="17">
        <v>9.9063855875997781E-2</v>
      </c>
      <c r="E57" s="17">
        <v>4.7342616723139337E-2</v>
      </c>
      <c r="F57" s="17">
        <v>7.8889203973139338E-2</v>
      </c>
      <c r="G57" s="24"/>
      <c r="H57" s="17"/>
      <c r="I57" s="17"/>
      <c r="J57" s="17"/>
    </row>
    <row r="58" spans="1:10">
      <c r="A58" s="39">
        <v>48</v>
      </c>
      <c r="B58" s="77" t="s">
        <v>501</v>
      </c>
      <c r="C58" s="24">
        <v>1.59240485159116</v>
      </c>
      <c r="D58" s="17">
        <v>9.3231337225756744E-2</v>
      </c>
      <c r="E58" s="17">
        <v>4.455525606018914E-2</v>
      </c>
      <c r="F58" s="17">
        <v>8.5589423626189154E-2</v>
      </c>
      <c r="G58" s="24"/>
      <c r="H58" s="17"/>
      <c r="I58" s="17"/>
      <c r="J58" s="17"/>
    </row>
    <row r="59" spans="1:10">
      <c r="A59" s="39">
        <v>49</v>
      </c>
      <c r="B59" s="77" t="s">
        <v>502</v>
      </c>
      <c r="C59" s="24">
        <v>1.5201329939999999</v>
      </c>
      <c r="D59" s="17">
        <v>8.8999999999999996E-2</v>
      </c>
      <c r="E59" s="17">
        <v>4.2533099999999997E-2</v>
      </c>
      <c r="F59" s="17">
        <v>8.8999999999999996E-2</v>
      </c>
      <c r="G59" s="24"/>
      <c r="H59" s="17"/>
      <c r="I59" s="17"/>
      <c r="J59" s="17"/>
    </row>
    <row r="60" spans="1:10">
      <c r="A60" s="39">
        <v>50</v>
      </c>
      <c r="B60" s="77" t="s">
        <v>503</v>
      </c>
      <c r="C60" s="24">
        <v>1.4740073</v>
      </c>
      <c r="D60" s="17">
        <v>8.6299455519876708E-2</v>
      </c>
      <c r="E60" s="17">
        <v>4.1242509792949078E-2</v>
      </c>
      <c r="F60" s="17">
        <v>6.7347509792949081E-2</v>
      </c>
      <c r="G60" s="24"/>
      <c r="H60" s="17"/>
      <c r="I60" s="17"/>
      <c r="J60" s="17"/>
    </row>
    <row r="61" spans="1:10">
      <c r="A61" s="39">
        <v>51</v>
      </c>
      <c r="B61" s="77" t="s">
        <v>504</v>
      </c>
      <c r="C61" s="24">
        <v>1.3062374474538001</v>
      </c>
      <c r="D61" s="17">
        <v>7.6476948584268553E-2</v>
      </c>
      <c r="E61" s="17">
        <v>3.6548333728421936E-2</v>
      </c>
      <c r="F61" s="17">
        <v>3.842021885842193E-2</v>
      </c>
      <c r="G61" s="24"/>
      <c r="H61" s="17"/>
      <c r="I61" s="17"/>
      <c r="J61" s="17"/>
    </row>
    <row r="62" spans="1:10">
      <c r="A62" s="39">
        <v>52</v>
      </c>
      <c r="B62" s="77" t="s">
        <v>505</v>
      </c>
      <c r="C62" s="24">
        <v>1</v>
      </c>
      <c r="D62" s="17">
        <v>5.8547508903026943E-2</v>
      </c>
      <c r="E62" s="17">
        <v>2.7979854504756575E-2</v>
      </c>
      <c r="F62" s="17">
        <v>2.7979854504756575E-2</v>
      </c>
      <c r="G62" s="24"/>
      <c r="H62" s="17"/>
      <c r="I62" s="17"/>
      <c r="J62" s="17"/>
    </row>
    <row r="65" spans="1:5">
      <c r="A65" s="85" t="s">
        <v>506</v>
      </c>
      <c r="B65" s="85"/>
      <c r="C65" s="85"/>
      <c r="D65" s="85"/>
      <c r="E65" s="85"/>
    </row>
    <row r="66" spans="1:5">
      <c r="D66" s="39" t="s">
        <v>507</v>
      </c>
      <c r="E66" s="39" t="s">
        <v>508</v>
      </c>
    </row>
    <row r="67" spans="1:5">
      <c r="A67" s="15" t="s">
        <v>509</v>
      </c>
      <c r="D67" s="80">
        <v>35.74</v>
      </c>
      <c r="E67" s="81">
        <v>1</v>
      </c>
    </row>
    <row r="68" spans="1:5">
      <c r="A68" s="15" t="s">
        <v>510</v>
      </c>
      <c r="D68" s="80">
        <f>D67*E68</f>
        <v>17.080145999999999</v>
      </c>
      <c r="E68" s="61">
        <v>0.47789999999999999</v>
      </c>
    </row>
    <row r="69" spans="1:5">
      <c r="A69" s="15" t="s">
        <v>511</v>
      </c>
      <c r="D69" s="80">
        <f>D67-D68</f>
        <v>18.659854000000003</v>
      </c>
      <c r="E69" s="61">
        <f>1-E68</f>
        <v>0.52210000000000001</v>
      </c>
    </row>
    <row r="71" spans="1:5">
      <c r="A71" s="15" t="s">
        <v>512</v>
      </c>
    </row>
    <row r="72" spans="1:5">
      <c r="A72" s="15" t="s">
        <v>513</v>
      </c>
    </row>
    <row r="73" spans="1:5">
      <c r="A73" s="15" t="s">
        <v>514</v>
      </c>
      <c r="B73" s="15"/>
    </row>
    <row r="74" spans="1:5">
      <c r="A74" s="15" t="s">
        <v>515</v>
      </c>
    </row>
    <row r="75" spans="1:5">
      <c r="A75" s="15"/>
    </row>
  </sheetData>
  <mergeCells count="3">
    <mergeCell ref="A1:F1"/>
    <mergeCell ref="A2:F2"/>
    <mergeCell ref="A65:E65"/>
  </mergeCells>
  <printOptions gridLines="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BB604-A52A-4767-BA59-BE4350B09B51}">
  <dimension ref="A1:C29"/>
  <sheetViews>
    <sheetView workbookViewId="0">
      <selection activeCell="C6" sqref="C6"/>
    </sheetView>
  </sheetViews>
  <sheetFormatPr defaultRowHeight="15"/>
  <cols>
    <col min="1" max="1" width="16" customWidth="1"/>
    <col min="2" max="2" width="13.28515625" style="39" customWidth="1"/>
    <col min="3" max="3" width="52.28515625" customWidth="1"/>
    <col min="4" max="4" width="48.42578125" customWidth="1"/>
  </cols>
  <sheetData>
    <row r="1" spans="1:3">
      <c r="A1" s="85" t="s">
        <v>516</v>
      </c>
      <c r="B1" s="85"/>
      <c r="C1" s="85"/>
    </row>
    <row r="2" spans="1:3" ht="15.75">
      <c r="A2" s="84" t="s">
        <v>517</v>
      </c>
      <c r="B2" s="84"/>
      <c r="C2" s="84"/>
    </row>
    <row r="3" spans="1:3" ht="15.75">
      <c r="A3" s="84" t="s">
        <v>436</v>
      </c>
      <c r="B3" s="84"/>
      <c r="C3" s="84"/>
    </row>
    <row r="4" spans="1:3">
      <c r="A4" s="58" t="s">
        <v>446</v>
      </c>
      <c r="B4" s="58" t="s">
        <v>518</v>
      </c>
      <c r="C4" s="58" t="s">
        <v>519</v>
      </c>
    </row>
    <row r="5" spans="1:3">
      <c r="A5" s="39"/>
      <c r="C5" s="39"/>
    </row>
    <row r="6" spans="1:3">
      <c r="A6" t="s">
        <v>124</v>
      </c>
      <c r="B6" s="61">
        <f>'[4] APPENDIX C with notes'!C120</f>
        <v>7.1957599999999997E-2</v>
      </c>
      <c r="C6" t="str">
        <f>'APPENDIX C'!D120</f>
        <v>11.44% times FCC safe harbor</v>
      </c>
    </row>
    <row r="7" spans="1:3">
      <c r="A7" t="s">
        <v>29</v>
      </c>
      <c r="B7" s="61">
        <f>'[4] APPENDIX C with notes'!C28</f>
        <v>7.0762500000000006E-2</v>
      </c>
      <c r="C7" t="str">
        <f>'[4] APPENDIX C with notes'!D28</f>
        <v>11.25% times FCC safe harbor</v>
      </c>
    </row>
    <row r="8" spans="1:3">
      <c r="A8" s="11" t="s">
        <v>520</v>
      </c>
      <c r="B8" s="10">
        <f>'[4] APPENDIX C with notes'!C14</f>
        <v>6.2899999999999998E-2</v>
      </c>
      <c r="C8" t="s">
        <v>521</v>
      </c>
    </row>
    <row r="9" spans="1:3">
      <c r="A9" t="s">
        <v>39</v>
      </c>
      <c r="B9" s="61">
        <f>'[4] APPENDIX C with notes'!C37+'[4] APPENDIX C with notes'!C38+'[4] APPENDIX C with notes'!C39+'[4] APPENDIX C with notes'!C40+'[4] APPENDIX C with notes'!C41</f>
        <v>5.2578109999999997E-2</v>
      </c>
      <c r="C9" t="s">
        <v>522</v>
      </c>
    </row>
    <row r="10" spans="1:3">
      <c r="A10" t="s">
        <v>185</v>
      </c>
      <c r="B10" s="61">
        <f>'[4] APPENDIX C with notes'!C196</f>
        <v>4.8964745383324002E-2</v>
      </c>
      <c r="C10" t="str">
        <f>'[4] APPENDIX C with notes'!D196</f>
        <v>$1.75 per line per month</v>
      </c>
    </row>
    <row r="11" spans="1:3">
      <c r="A11" t="s">
        <v>256</v>
      </c>
      <c r="B11" s="61">
        <f>'[4] APPENDIX C with notes'!C272</f>
        <v>3.7739999999999996E-2</v>
      </c>
      <c r="C11" t="s">
        <v>262</v>
      </c>
    </row>
    <row r="12" spans="1:3">
      <c r="A12" t="s">
        <v>137</v>
      </c>
      <c r="B12" s="61">
        <f>'[4] APPENDIX C with notes'!C136</f>
        <v>3.609401231113598E-2</v>
      </c>
      <c r="C12" t="s">
        <v>523</v>
      </c>
    </row>
    <row r="13" spans="1:3">
      <c r="A13" t="s">
        <v>252</v>
      </c>
      <c r="B13" s="61">
        <f>'[4] APPENDIX C with notes'!C265</f>
        <v>3.189703413542249E-2</v>
      </c>
      <c r="C13" t="str">
        <f>'[4] APPENDIX C with notes'!D265</f>
        <v>$1.14 per line per month</v>
      </c>
    </row>
    <row r="14" spans="1:3">
      <c r="A14" t="s">
        <v>207</v>
      </c>
      <c r="B14" s="61">
        <f>'[4] APPENDIX C with notes'!C223</f>
        <v>2.6580861779518745E-2</v>
      </c>
      <c r="C14" t="str">
        <f>'[4] APPENDIX C with notes'!D223</f>
        <v>$0.95 per line per month</v>
      </c>
    </row>
    <row r="15" spans="1:3">
      <c r="A15" t="s">
        <v>307</v>
      </c>
      <c r="B15" s="61">
        <f>'[4] APPENDIX C with notes'!C338</f>
        <v>2.4E-2</v>
      </c>
      <c r="C15" s="17" t="str">
        <f>'[4] APPENDIX C with notes'!D338</f>
        <v>Funds 911 and other programs</v>
      </c>
    </row>
    <row r="16" spans="1:3">
      <c r="A16" t="s">
        <v>384</v>
      </c>
      <c r="B16" s="61">
        <f>'[4] APPENDIX C with notes'!C322</f>
        <v>2.0757000000000001E-2</v>
      </c>
      <c r="C16" t="str">
        <f>'[4] APPENDIX C with notes'!D322</f>
        <v>3.3% times FCC safe harbor</v>
      </c>
    </row>
    <row r="17" spans="1:3">
      <c r="A17" t="s">
        <v>338</v>
      </c>
      <c r="B17" s="61">
        <f>'[4] APPENDIX C with notes'!C375</f>
        <v>1.6983000000000002E-2</v>
      </c>
      <c r="C17" t="str">
        <f>'[4] APPENDIX C with notes'!D375</f>
        <v>2.7% times FCC safe harbor</v>
      </c>
    </row>
    <row r="18" spans="1:3">
      <c r="A18" t="s">
        <v>273</v>
      </c>
      <c r="B18" s="61">
        <f>'[4] APPENDIX C with notes'!C299</f>
        <v>1.6794299999999998E-2</v>
      </c>
      <c r="C18" t="str">
        <f>'[4] APPENDIX C with notes'!D299</f>
        <v>2.67% times FCC safe harbor</v>
      </c>
    </row>
    <row r="19" spans="1:3">
      <c r="A19" t="s">
        <v>56</v>
      </c>
      <c r="B19" s="61">
        <f>'[4] APPENDIX C with notes'!C49</f>
        <v>1.6354E-2</v>
      </c>
      <c r="C19" t="str">
        <f>'[4] APPENDIX C with notes'!D49</f>
        <v>2.6% times FCC safe harbor</v>
      </c>
    </row>
    <row r="20" spans="1:3">
      <c r="A20" t="s">
        <v>111</v>
      </c>
      <c r="B20" s="61">
        <f>'[4] APPENDIX C with notes'!C105</f>
        <v>1.42154E-2</v>
      </c>
      <c r="C20" t="str">
        <f>'[4] APPENDIX C with notes'!D105</f>
        <v>2.3% times FCC safe harbor</v>
      </c>
    </row>
    <row r="21" spans="1:3">
      <c r="A21" t="s">
        <v>142</v>
      </c>
      <c r="B21" s="61">
        <f>'[4] APPENDIX C with notes'!C143</f>
        <v>1.2311135982092892E-2</v>
      </c>
      <c r="C21" t="str">
        <f>'[4] APPENDIX C with notes'!D143</f>
        <v>$0.44 per line</v>
      </c>
    </row>
    <row r="22" spans="1:3">
      <c r="A22" t="s">
        <v>524</v>
      </c>
      <c r="B22" s="61">
        <f>'[4] APPENDIX C with notes'!C332</f>
        <v>1.0072747621712366E-2</v>
      </c>
      <c r="C22" t="str">
        <f>'[4] APPENDIX C with notes'!D332</f>
        <v>$0.36 per line per month</v>
      </c>
    </row>
    <row r="23" spans="1:3">
      <c r="A23" t="s">
        <v>266</v>
      </c>
      <c r="B23" s="61">
        <f>'[4] APPENDIX C with notes'!C285</f>
        <v>8.7431000000000002E-3</v>
      </c>
      <c r="C23" t="str">
        <f>'[4] APPENDIX C with notes'!D285</f>
        <v>1.39% times FCC safe harbor</v>
      </c>
    </row>
    <row r="24" spans="1:3">
      <c r="A24" t="s">
        <v>128</v>
      </c>
      <c r="B24" s="61">
        <f>'[4] APPENDIX C with notes'!C127</f>
        <v>4.1969781757134859E-3</v>
      </c>
      <c r="C24" t="str">
        <f>'[4] APPENDIX C with notes'!D127</f>
        <v>$.15 per month</v>
      </c>
    </row>
    <row r="25" spans="1:3">
      <c r="A25" t="s">
        <v>193</v>
      </c>
      <c r="B25" s="61">
        <f>'[4] APPENDIX C with notes'!C205</f>
        <v>3.5853E-3</v>
      </c>
      <c r="C25" t="str">
        <f>'[4] APPENDIX C with notes'!D205</f>
        <v>0.57% times FCC Safe Harbor</v>
      </c>
    </row>
    <row r="26" spans="1:3">
      <c r="A26" t="s">
        <v>332</v>
      </c>
      <c r="B26" s="61">
        <f>'[4] APPENDIX C with notes'!C368</f>
        <v>2.8225745999999998E-3</v>
      </c>
      <c r="C26" t="str">
        <f>'[4] APPENDIX C with notes'!D368</f>
        <v>0.449% times FCC safe harbor</v>
      </c>
    </row>
    <row r="27" spans="1:3">
      <c r="A27" t="s">
        <v>151</v>
      </c>
      <c r="B27" s="61">
        <f>'[4] APPENDIX C with notes'!C153</f>
        <v>1.3989927252378287E-3</v>
      </c>
      <c r="C27" t="s">
        <v>525</v>
      </c>
    </row>
    <row r="29" spans="1:3">
      <c r="A29" t="s">
        <v>526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1329F-0DCC-4CE1-B0F0-3E821472EA83}">
  <dimension ref="A1:N394"/>
  <sheetViews>
    <sheetView topLeftCell="A105" workbookViewId="0">
      <selection activeCell="D120" sqref="D120"/>
    </sheetView>
  </sheetViews>
  <sheetFormatPr defaultColWidth="8.85546875" defaultRowHeight="15"/>
  <cols>
    <col min="1" max="1" width="13.7109375" customWidth="1"/>
    <col min="2" max="2" width="39.85546875" customWidth="1"/>
    <col min="4" max="4" width="49.5703125" customWidth="1"/>
    <col min="7" max="7" width="11.42578125" customWidth="1"/>
    <col min="8" max="8" width="14.85546875" customWidth="1"/>
    <col min="9" max="9" width="36.42578125" customWidth="1"/>
    <col min="10" max="10" width="20.42578125" bestFit="1" customWidth="1"/>
    <col min="11" max="11" width="12.140625" bestFit="1" customWidth="1"/>
    <col min="12" max="12" width="13.28515625" customWidth="1"/>
    <col min="13" max="13" width="10.140625" bestFit="1" customWidth="1"/>
  </cols>
  <sheetData>
    <row r="1" spans="1:4" ht="15.75">
      <c r="A1" s="1" t="s">
        <v>0</v>
      </c>
      <c r="B1" s="2" t="s">
        <v>527</v>
      </c>
      <c r="C1" s="2"/>
      <c r="D1" s="2"/>
    </row>
    <row r="2" spans="1:4">
      <c r="A2" s="3" t="s">
        <v>1</v>
      </c>
      <c r="B2" s="4"/>
      <c r="C2" s="4"/>
      <c r="D2" s="4"/>
    </row>
    <row r="3" spans="1:4">
      <c r="A3" s="5"/>
      <c r="C3" s="6"/>
    </row>
    <row r="4" spans="1:4">
      <c r="A4" s="5" t="s">
        <v>2</v>
      </c>
      <c r="B4" s="7" t="s">
        <v>3</v>
      </c>
      <c r="C4" s="8" t="s">
        <v>4</v>
      </c>
      <c r="D4" s="9" t="s">
        <v>5</v>
      </c>
    </row>
    <row r="5" spans="1:4">
      <c r="A5" s="5"/>
      <c r="C5" s="6"/>
    </row>
    <row r="6" spans="1:4">
      <c r="A6" s="5" t="s">
        <v>6</v>
      </c>
      <c r="C6" s="6"/>
    </row>
    <row r="7" spans="1:4">
      <c r="A7" s="5"/>
      <c r="B7" t="s">
        <v>7</v>
      </c>
      <c r="C7" s="10">
        <v>0.06</v>
      </c>
      <c r="D7" t="s">
        <v>8</v>
      </c>
    </row>
    <row r="8" spans="1:4">
      <c r="A8" s="5"/>
      <c r="B8" t="s">
        <v>9</v>
      </c>
      <c r="C8" s="10">
        <f>1.86/A380</f>
        <v>5.2042529378847228E-2</v>
      </c>
      <c r="D8" t="s">
        <v>10</v>
      </c>
    </row>
    <row r="9" spans="1:4">
      <c r="A9" s="5"/>
      <c r="B9" s="5" t="s">
        <v>11</v>
      </c>
      <c r="C9" s="8">
        <f>SUM(C7:C8)</f>
        <v>0.11204252937884723</v>
      </c>
    </row>
    <row r="10" spans="1:4">
      <c r="A10" s="5"/>
      <c r="C10" s="6"/>
    </row>
    <row r="11" spans="1:4">
      <c r="A11" s="5" t="s">
        <v>12</v>
      </c>
      <c r="C11" s="6"/>
    </row>
    <row r="12" spans="1:4">
      <c r="A12" s="5"/>
      <c r="B12" t="s">
        <v>13</v>
      </c>
      <c r="C12" s="10">
        <v>2.5000000000000001E-2</v>
      </c>
      <c r="D12" t="s">
        <v>14</v>
      </c>
    </row>
    <row r="13" spans="1:4">
      <c r="A13" s="11"/>
      <c r="B13" s="11" t="s">
        <v>15</v>
      </c>
      <c r="C13" s="10">
        <f>((2+1.9)/2)/A380</f>
        <v>5.4560716284275321E-2</v>
      </c>
      <c r="D13" t="s">
        <v>16</v>
      </c>
    </row>
    <row r="14" spans="1:4">
      <c r="A14" s="5"/>
      <c r="B14" s="11" t="s">
        <v>17</v>
      </c>
      <c r="C14" s="10">
        <f>10%*$A$382</f>
        <v>6.2899999999999998E-2</v>
      </c>
      <c r="D14" t="s">
        <v>18</v>
      </c>
    </row>
    <row r="15" spans="1:4">
      <c r="A15" s="5"/>
      <c r="B15" s="11" t="s">
        <v>19</v>
      </c>
      <c r="C15" s="10">
        <f>0.01/A380</f>
        <v>2.7979854504756572E-4</v>
      </c>
      <c r="D15" t="s">
        <v>20</v>
      </c>
    </row>
    <row r="16" spans="1:4">
      <c r="A16" s="5"/>
      <c r="B16" s="5" t="s">
        <v>11</v>
      </c>
      <c r="C16" s="8">
        <f>SUM(C12:C15)</f>
        <v>0.14274051482932287</v>
      </c>
      <c r="D16" s="12"/>
    </row>
    <row r="17" spans="1:6">
      <c r="A17" s="5"/>
      <c r="C17" s="6"/>
    </row>
    <row r="18" spans="1:6">
      <c r="A18" s="5" t="s">
        <v>21</v>
      </c>
      <c r="C18" s="6"/>
    </row>
    <row r="19" spans="1:6">
      <c r="A19" s="5"/>
      <c r="B19" t="s">
        <v>22</v>
      </c>
      <c r="C19" s="10">
        <v>5.6000000000000001E-2</v>
      </c>
      <c r="D19" t="s">
        <v>23</v>
      </c>
      <c r="F19" s="13"/>
    </row>
    <row r="20" spans="1:6">
      <c r="A20" s="5"/>
      <c r="B20" s="11" t="s">
        <v>24</v>
      </c>
      <c r="C20" s="10">
        <v>6.0000000000000001E-3</v>
      </c>
      <c r="D20" t="s">
        <v>25</v>
      </c>
    </row>
    <row r="21" spans="1:6">
      <c r="A21" s="5"/>
      <c r="B21" t="s">
        <v>26</v>
      </c>
      <c r="C21" s="14">
        <f>0.118/2</f>
        <v>5.8999999999999997E-2</v>
      </c>
      <c r="D21" t="s">
        <v>27</v>
      </c>
    </row>
    <row r="22" spans="1:6">
      <c r="A22" s="5"/>
      <c r="B22" s="15">
        <v>911</v>
      </c>
      <c r="C22" s="10">
        <f>0.2/A380</f>
        <v>5.5959709009513149E-3</v>
      </c>
      <c r="D22" t="s">
        <v>28</v>
      </c>
    </row>
    <row r="23" spans="1:6">
      <c r="A23" s="5"/>
      <c r="B23" s="5" t="s">
        <v>11</v>
      </c>
      <c r="C23" s="8">
        <f>SUM(C19:C22)</f>
        <v>0.12659597090095132</v>
      </c>
    </row>
    <row r="24" spans="1:6">
      <c r="A24" s="5"/>
      <c r="C24" s="6"/>
    </row>
    <row r="25" spans="1:6">
      <c r="A25" s="5" t="s">
        <v>29</v>
      </c>
      <c r="C25" s="6"/>
    </row>
    <row r="26" spans="1:6">
      <c r="A26" s="5"/>
      <c r="B26" t="s">
        <v>30</v>
      </c>
      <c r="C26" s="10">
        <v>6.5000000000000002E-2</v>
      </c>
      <c r="D26" s="11"/>
    </row>
    <row r="27" spans="1:6">
      <c r="A27" s="5"/>
      <c r="B27" t="s">
        <v>31</v>
      </c>
      <c r="C27" s="10">
        <f>(2.125%+3.25%)/2</f>
        <v>2.6875000000000003E-2</v>
      </c>
      <c r="D27" s="11" t="s">
        <v>32</v>
      </c>
    </row>
    <row r="28" spans="1:6">
      <c r="A28" s="5"/>
      <c r="B28" s="11" t="s">
        <v>33</v>
      </c>
      <c r="C28" s="10">
        <f>11.25%*$A$382</f>
        <v>7.0762500000000006E-2</v>
      </c>
      <c r="D28" s="11" t="s">
        <v>34</v>
      </c>
      <c r="F28" s="13"/>
    </row>
    <row r="29" spans="1:6">
      <c r="A29" s="5"/>
      <c r="B29" t="s">
        <v>35</v>
      </c>
      <c r="C29" s="10">
        <f>1.3/A380</f>
        <v>3.6373810856183547E-2</v>
      </c>
      <c r="D29" t="s">
        <v>36</v>
      </c>
    </row>
    <row r="30" spans="1:6">
      <c r="A30" s="5"/>
      <c r="B30" s="11" t="s">
        <v>37</v>
      </c>
      <c r="C30" s="10">
        <f>0.03/A380</f>
        <v>8.3939563514269717E-4</v>
      </c>
      <c r="D30" t="s">
        <v>38</v>
      </c>
    </row>
    <row r="31" spans="1:6">
      <c r="A31" s="5"/>
      <c r="B31" s="5" t="s">
        <v>11</v>
      </c>
      <c r="C31" s="8">
        <f>SUM(C26:C30)</f>
        <v>0.19985070649132627</v>
      </c>
    </row>
    <row r="32" spans="1:6">
      <c r="A32" s="5"/>
      <c r="C32" s="6"/>
    </row>
    <row r="33" spans="1:9">
      <c r="A33" s="5" t="s">
        <v>39</v>
      </c>
      <c r="C33" s="6"/>
    </row>
    <row r="34" spans="1:9">
      <c r="A34" s="5"/>
      <c r="B34" s="11" t="s">
        <v>40</v>
      </c>
      <c r="C34" s="10">
        <v>0.08</v>
      </c>
      <c r="D34" t="s">
        <v>41</v>
      </c>
      <c r="I34" s="16"/>
    </row>
    <row r="35" spans="1:9">
      <c r="A35" s="5"/>
      <c r="B35" s="15" t="s">
        <v>42</v>
      </c>
      <c r="C35" s="10">
        <f>0.3/A380</f>
        <v>8.3939563514269719E-3</v>
      </c>
      <c r="D35" t="s">
        <v>43</v>
      </c>
      <c r="F35" s="17"/>
    </row>
    <row r="36" spans="1:9">
      <c r="A36" s="5"/>
      <c r="B36" t="s">
        <v>44</v>
      </c>
      <c r="C36" s="10">
        <f>0.52%*A382</f>
        <v>3.2707999999999999E-3</v>
      </c>
      <c r="D36" t="s">
        <v>45</v>
      </c>
      <c r="F36" s="17"/>
    </row>
    <row r="37" spans="1:9">
      <c r="A37" s="5"/>
      <c r="B37" t="s">
        <v>46</v>
      </c>
      <c r="C37" s="10">
        <f>4.75%*A382</f>
        <v>2.9877500000000001E-2</v>
      </c>
      <c r="D37" t="s">
        <v>47</v>
      </c>
      <c r="F37" s="17"/>
    </row>
    <row r="38" spans="1:9">
      <c r="A38" s="5"/>
      <c r="B38" t="s">
        <v>48</v>
      </c>
      <c r="C38" s="10">
        <f>1.11%*A382</f>
        <v>6.9819000000000001E-3</v>
      </c>
      <c r="D38" t="s">
        <v>49</v>
      </c>
      <c r="F38" s="17"/>
      <c r="H38" s="17"/>
    </row>
    <row r="39" spans="1:9">
      <c r="A39" s="5"/>
      <c r="B39" t="s">
        <v>50</v>
      </c>
      <c r="C39" s="10">
        <f>0.7%*A382</f>
        <v>4.4029999999999998E-3</v>
      </c>
      <c r="D39" t="s">
        <v>51</v>
      </c>
      <c r="E39" s="17"/>
      <c r="F39" s="17"/>
      <c r="H39" s="18"/>
    </row>
    <row r="40" spans="1:9">
      <c r="A40" s="5"/>
      <c r="B40" t="s">
        <v>52</v>
      </c>
      <c r="C40" s="6">
        <f>0.78%*A382</f>
        <v>4.9062000000000003E-3</v>
      </c>
      <c r="D40" t="s">
        <v>53</v>
      </c>
      <c r="F40" s="17"/>
    </row>
    <row r="41" spans="1:9">
      <c r="A41" s="5"/>
      <c r="B41" t="s">
        <v>54</v>
      </c>
      <c r="C41" s="6">
        <f>1.019%*(A382)</f>
        <v>6.4095099999999993E-3</v>
      </c>
      <c r="D41" t="s">
        <v>55</v>
      </c>
      <c r="F41" s="17"/>
    </row>
    <row r="42" spans="1:9">
      <c r="A42" s="5"/>
      <c r="B42" s="5" t="s">
        <v>11</v>
      </c>
      <c r="C42" s="8">
        <f>SUM(C34:C41)</f>
        <v>0.14424286635142697</v>
      </c>
      <c r="F42" s="17"/>
    </row>
    <row r="43" spans="1:9">
      <c r="A43" s="5"/>
      <c r="C43" s="6"/>
    </row>
    <row r="44" spans="1:9">
      <c r="A44" s="5" t="s">
        <v>56</v>
      </c>
      <c r="B44" s="15"/>
      <c r="C44" s="6"/>
    </row>
    <row r="45" spans="1:9">
      <c r="A45" s="5"/>
      <c r="B45" s="15" t="s">
        <v>57</v>
      </c>
      <c r="C45" s="10">
        <v>2.9000000000000001E-2</v>
      </c>
      <c r="D45" t="s">
        <v>58</v>
      </c>
    </row>
    <row r="46" spans="1:9">
      <c r="A46" s="5"/>
      <c r="B46" s="15" t="s">
        <v>59</v>
      </c>
      <c r="C46" s="10">
        <f>(5.91%+2.23%)/2</f>
        <v>4.07E-2</v>
      </c>
      <c r="D46" t="s">
        <v>60</v>
      </c>
      <c r="H46" s="13"/>
    </row>
    <row r="47" spans="1:9">
      <c r="A47" s="5"/>
      <c r="B47" s="15" t="s">
        <v>42</v>
      </c>
      <c r="C47" s="10">
        <f>0.09/A380</f>
        <v>2.5181869054280914E-3</v>
      </c>
      <c r="D47" t="s">
        <v>61</v>
      </c>
    </row>
    <row r="48" spans="1:9">
      <c r="A48" s="5"/>
      <c r="B48" s="15" t="s">
        <v>62</v>
      </c>
      <c r="C48" s="10">
        <f>(2.55/2)/A380</f>
        <v>3.5674314493564632E-2</v>
      </c>
      <c r="D48" t="s">
        <v>63</v>
      </c>
    </row>
    <row r="49" spans="1:4">
      <c r="A49" s="5"/>
      <c r="B49" t="s">
        <v>64</v>
      </c>
      <c r="C49" s="10">
        <f>2.6%*$A$382</f>
        <v>1.6354E-2</v>
      </c>
      <c r="D49" s="15" t="s">
        <v>65</v>
      </c>
    </row>
    <row r="50" spans="1:4">
      <c r="A50" s="5"/>
      <c r="B50" t="s">
        <v>66</v>
      </c>
      <c r="C50" s="10">
        <f>0.06/A380</f>
        <v>1.6787912702853943E-3</v>
      </c>
      <c r="D50" s="15" t="s">
        <v>67</v>
      </c>
    </row>
    <row r="51" spans="1:4">
      <c r="A51" s="5"/>
      <c r="B51" s="15" t="s">
        <v>68</v>
      </c>
      <c r="C51" s="10">
        <f>0.18/A380</f>
        <v>5.0363738108561828E-3</v>
      </c>
      <c r="D51" s="15" t="s">
        <v>69</v>
      </c>
    </row>
    <row r="52" spans="1:4">
      <c r="A52" s="5"/>
      <c r="B52" s="5" t="s">
        <v>11</v>
      </c>
      <c r="C52" s="8">
        <f>SUM(C45:C51)</f>
        <v>0.13096166648013427</v>
      </c>
    </row>
    <row r="53" spans="1:4">
      <c r="A53" s="5"/>
      <c r="C53" s="6"/>
    </row>
    <row r="54" spans="1:4">
      <c r="A54" s="5" t="s">
        <v>70</v>
      </c>
      <c r="C54" s="6"/>
    </row>
    <row r="55" spans="1:4">
      <c r="A55" s="5"/>
      <c r="B55" t="s">
        <v>30</v>
      </c>
      <c r="C55" s="10">
        <v>6.3500000000000001E-2</v>
      </c>
      <c r="D55" t="s">
        <v>8</v>
      </c>
    </row>
    <row r="56" spans="1:4">
      <c r="A56" s="5"/>
      <c r="B56" s="15">
        <v>911</v>
      </c>
      <c r="C56" s="10">
        <f>0.7/A380</f>
        <v>1.95858981533296E-2</v>
      </c>
      <c r="D56" s="19" t="s">
        <v>71</v>
      </c>
    </row>
    <row r="57" spans="1:4">
      <c r="A57" s="5"/>
      <c r="B57" s="5" t="s">
        <v>11</v>
      </c>
      <c r="C57" s="8">
        <f>SUM(C55:C56)</f>
        <v>8.3085898153329604E-2</v>
      </c>
      <c r="D57" s="12"/>
    </row>
    <row r="58" spans="1:4">
      <c r="A58" s="5"/>
      <c r="C58" s="6"/>
    </row>
    <row r="59" spans="1:4">
      <c r="A59" s="5" t="s">
        <v>72</v>
      </c>
      <c r="C59" s="6"/>
    </row>
    <row r="60" spans="1:4">
      <c r="A60" s="5"/>
      <c r="B60" t="s">
        <v>73</v>
      </c>
      <c r="C60" s="10">
        <v>0.05</v>
      </c>
      <c r="D60" t="s">
        <v>74</v>
      </c>
    </row>
    <row r="61" spans="1:4">
      <c r="A61" s="5"/>
      <c r="B61" s="11" t="s">
        <v>75</v>
      </c>
      <c r="C61" s="10">
        <f>0.6/A380</f>
        <v>1.6787912702853944E-2</v>
      </c>
      <c r="D61" t="s">
        <v>76</v>
      </c>
    </row>
    <row r="62" spans="1:4">
      <c r="A62" s="5"/>
      <c r="B62" s="11" t="s">
        <v>77</v>
      </c>
      <c r="C62" s="10">
        <f>0.02/A380</f>
        <v>5.5959709009513144E-4</v>
      </c>
      <c r="D62" t="s">
        <v>78</v>
      </c>
    </row>
    <row r="63" spans="1:4">
      <c r="A63" s="5"/>
      <c r="B63" s="5" t="s">
        <v>11</v>
      </c>
      <c r="C63" s="8">
        <f>SUM(C60:C62)</f>
        <v>6.7347509792949081E-2</v>
      </c>
    </row>
    <row r="64" spans="1:4">
      <c r="A64" s="5"/>
      <c r="C64" s="6"/>
    </row>
    <row r="65" spans="1:10">
      <c r="A65" s="5" t="s">
        <v>79</v>
      </c>
      <c r="C65" s="6"/>
    </row>
    <row r="66" spans="1:10">
      <c r="A66" s="5"/>
      <c r="B66" t="s">
        <v>80</v>
      </c>
      <c r="C66" s="10">
        <v>0.1</v>
      </c>
      <c r="D66" s="11" t="s">
        <v>81</v>
      </c>
    </row>
    <row r="67" spans="1:10">
      <c r="A67" s="5"/>
      <c r="B67" s="15">
        <v>911</v>
      </c>
      <c r="C67" s="10">
        <f>0.76/A380</f>
        <v>2.1264689423614997E-2</v>
      </c>
      <c r="D67" s="11" t="s">
        <v>82</v>
      </c>
    </row>
    <row r="68" spans="1:10">
      <c r="A68" s="5"/>
      <c r="B68" s="5" t="s">
        <v>11</v>
      </c>
      <c r="C68" s="8">
        <f>SUM(C66:C67)</f>
        <v>0.121264689423615</v>
      </c>
    </row>
    <row r="69" spans="1:10">
      <c r="A69" s="5"/>
      <c r="C69" s="6"/>
      <c r="I69" s="20"/>
    </row>
    <row r="70" spans="1:10">
      <c r="A70" s="5" t="s">
        <v>83</v>
      </c>
      <c r="C70" s="6"/>
      <c r="J70" s="21"/>
    </row>
    <row r="71" spans="1:10">
      <c r="A71" s="11"/>
      <c r="B71" t="s">
        <v>84</v>
      </c>
      <c r="C71" s="10">
        <f>7.44%</f>
        <v>7.4400000000000008E-2</v>
      </c>
      <c r="D71" t="s">
        <v>8</v>
      </c>
    </row>
    <row r="72" spans="1:10">
      <c r="A72" s="5"/>
      <c r="B72" s="11" t="s">
        <v>85</v>
      </c>
      <c r="C72" s="10">
        <f>(6.02%+6.9%)/2</f>
        <v>6.4600000000000005E-2</v>
      </c>
      <c r="D72" t="s">
        <v>86</v>
      </c>
    </row>
    <row r="73" spans="1:10">
      <c r="A73" s="5"/>
      <c r="B73" s="15">
        <v>911</v>
      </c>
      <c r="C73" s="10">
        <f>0.4/A380</f>
        <v>1.119194180190263E-2</v>
      </c>
      <c r="D73" t="s">
        <v>87</v>
      </c>
    </row>
    <row r="74" spans="1:10">
      <c r="A74" s="5"/>
      <c r="B74" s="5" t="s">
        <v>11</v>
      </c>
      <c r="C74" s="8">
        <f>SUM(C71:C73)</f>
        <v>0.15019194180190265</v>
      </c>
    </row>
    <row r="75" spans="1:10">
      <c r="A75" s="5"/>
      <c r="C75" s="6"/>
      <c r="H75" s="22"/>
    </row>
    <row r="76" spans="1:10">
      <c r="A76" s="5" t="s">
        <v>88</v>
      </c>
      <c r="C76" s="6"/>
    </row>
    <row r="77" spans="1:10">
      <c r="A77" s="5"/>
      <c r="B77" t="s">
        <v>30</v>
      </c>
      <c r="C77" s="10">
        <f>(35/A380)*0.04</f>
        <v>3.9171796306659207E-2</v>
      </c>
      <c r="D77" t="s">
        <v>89</v>
      </c>
    </row>
    <row r="78" spans="1:10">
      <c r="A78" s="5"/>
      <c r="B78" t="s">
        <v>90</v>
      </c>
      <c r="C78" s="10">
        <f>(35/A380)*0.0425</f>
        <v>4.1620033575825409E-2</v>
      </c>
      <c r="D78" t="s">
        <v>91</v>
      </c>
    </row>
    <row r="79" spans="1:10">
      <c r="A79" s="5"/>
      <c r="B79" t="s">
        <v>92</v>
      </c>
      <c r="C79" s="10">
        <f>1.5/A380</f>
        <v>4.1969781757134859E-2</v>
      </c>
      <c r="D79" t="s">
        <v>93</v>
      </c>
    </row>
    <row r="80" spans="1:10">
      <c r="A80" s="5"/>
      <c r="B80" s="5" t="s">
        <v>11</v>
      </c>
      <c r="C80" s="8">
        <f>SUM(C77:C79)</f>
        <v>0.12276161163961949</v>
      </c>
    </row>
    <row r="81" spans="1:11">
      <c r="A81" s="5"/>
      <c r="C81" s="6"/>
      <c r="K81" s="17"/>
    </row>
    <row r="82" spans="1:11">
      <c r="A82" s="5" t="s">
        <v>94</v>
      </c>
      <c r="C82" s="6"/>
      <c r="K82" s="17"/>
    </row>
    <row r="83" spans="1:11">
      <c r="A83" s="5"/>
      <c r="B83" t="s">
        <v>95</v>
      </c>
      <c r="C83" s="10">
        <v>0.04</v>
      </c>
      <c r="F83" s="13"/>
    </row>
    <row r="84" spans="1:11">
      <c r="A84" s="5"/>
      <c r="B84" t="s">
        <v>96</v>
      </c>
      <c r="C84" s="10">
        <v>1.8849999999999999E-2</v>
      </c>
    </row>
    <row r="85" spans="1:11">
      <c r="A85" s="5"/>
      <c r="B85" t="s">
        <v>97</v>
      </c>
      <c r="C85" s="10">
        <f>0.0025*A382</f>
        <v>1.5725000000000001E-3</v>
      </c>
      <c r="D85" s="17" t="s">
        <v>98</v>
      </c>
    </row>
    <row r="86" spans="1:11">
      <c r="A86" s="5"/>
      <c r="B86" t="s">
        <v>99</v>
      </c>
      <c r="C86" s="10">
        <f>0.66/A380</f>
        <v>1.8466703973139341E-2</v>
      </c>
      <c r="D86" t="s">
        <v>100</v>
      </c>
    </row>
    <row r="87" spans="1:11">
      <c r="A87" s="5"/>
      <c r="B87" s="5" t="s">
        <v>11</v>
      </c>
      <c r="C87" s="8">
        <f>SUM(C83:C86)</f>
        <v>7.8889203973139338E-2</v>
      </c>
    </row>
    <row r="88" spans="1:11">
      <c r="A88" s="5"/>
      <c r="B88" s="5"/>
      <c r="C88" s="8"/>
      <c r="G88" s="23"/>
    </row>
    <row r="89" spans="1:11">
      <c r="A89" s="5" t="s">
        <v>101</v>
      </c>
      <c r="B89" s="5"/>
      <c r="C89" s="8"/>
    </row>
    <row r="90" spans="1:11">
      <c r="A90" s="5"/>
      <c r="B90" s="11" t="s">
        <v>102</v>
      </c>
      <c r="C90" s="10">
        <v>0</v>
      </c>
      <c r="D90" s="11" t="s">
        <v>103</v>
      </c>
    </row>
    <row r="91" spans="1:11">
      <c r="A91" s="5"/>
      <c r="B91" s="11" t="s">
        <v>104</v>
      </c>
      <c r="C91" s="10">
        <f>1/A380</f>
        <v>2.7979854504756575E-2</v>
      </c>
      <c r="D91" s="11" t="s">
        <v>105</v>
      </c>
    </row>
    <row r="92" spans="1:11">
      <c r="A92" s="5"/>
      <c r="B92" s="5" t="s">
        <v>11</v>
      </c>
      <c r="C92" s="8">
        <f>SUM(C90:C91)</f>
        <v>2.7979854504756575E-2</v>
      </c>
    </row>
    <row r="93" spans="1:11">
      <c r="A93" s="5"/>
      <c r="B93" s="5"/>
      <c r="C93" s="8"/>
      <c r="H93" s="24"/>
      <c r="J93" s="22"/>
    </row>
    <row r="94" spans="1:11">
      <c r="A94" s="5" t="s">
        <v>106</v>
      </c>
      <c r="B94" s="5"/>
      <c r="C94" s="8"/>
      <c r="H94" s="25"/>
      <c r="J94" s="26"/>
    </row>
    <row r="95" spans="1:11">
      <c r="A95" s="5"/>
      <c r="B95" s="11" t="s">
        <v>107</v>
      </c>
      <c r="C95" s="10">
        <v>7.0000000000000007E-2</v>
      </c>
      <c r="D95" t="s">
        <v>8</v>
      </c>
      <c r="I95" s="22"/>
    </row>
    <row r="96" spans="1:11">
      <c r="A96" s="5"/>
      <c r="B96" s="11" t="s">
        <v>108</v>
      </c>
      <c r="C96" s="10">
        <f>(7%+6%)/2</f>
        <v>6.5000000000000002E-2</v>
      </c>
      <c r="D96" s="27" t="s">
        <v>109</v>
      </c>
      <c r="I96" s="22"/>
    </row>
    <row r="97" spans="1:12">
      <c r="A97" s="5"/>
      <c r="B97" s="11" t="s">
        <v>35</v>
      </c>
      <c r="C97" s="10">
        <f>(5+1.5)/2/A380</f>
        <v>9.0934527140458868E-2</v>
      </c>
      <c r="D97" s="11" t="s">
        <v>110</v>
      </c>
    </row>
    <row r="98" spans="1:12">
      <c r="A98" s="5"/>
      <c r="B98" s="11" t="s">
        <v>77</v>
      </c>
      <c r="C98" s="10">
        <f>0.02/A380</f>
        <v>5.5959709009513144E-4</v>
      </c>
      <c r="D98" s="11" t="s">
        <v>78</v>
      </c>
    </row>
    <row r="99" spans="1:12">
      <c r="A99" s="5"/>
      <c r="B99" s="5" t="s">
        <v>11</v>
      </c>
      <c r="C99" s="8">
        <f>SUM(C95:C98)</f>
        <v>0.22649412423055398</v>
      </c>
      <c r="D99" s="11"/>
    </row>
    <row r="100" spans="1:12">
      <c r="A100" s="5"/>
      <c r="B100" s="11"/>
      <c r="C100" s="10"/>
      <c r="D100" s="11"/>
    </row>
    <row r="101" spans="1:12">
      <c r="A101" s="5" t="s">
        <v>111</v>
      </c>
      <c r="B101" s="11"/>
      <c r="C101" s="10"/>
      <c r="D101" s="11"/>
    </row>
    <row r="102" spans="1:12">
      <c r="A102" s="5"/>
      <c r="B102" s="11" t="s">
        <v>30</v>
      </c>
      <c r="C102" s="10">
        <v>7.0000000000000007E-2</v>
      </c>
      <c r="D102" s="11" t="s">
        <v>112</v>
      </c>
    </row>
    <row r="103" spans="1:12">
      <c r="A103" s="5"/>
      <c r="B103" s="11" t="s">
        <v>113</v>
      </c>
      <c r="C103" s="10">
        <v>0</v>
      </c>
      <c r="D103" t="s">
        <v>114</v>
      </c>
    </row>
    <row r="104" spans="1:12">
      <c r="A104" s="5"/>
      <c r="B104" s="11" t="s">
        <v>35</v>
      </c>
      <c r="C104" s="10">
        <f>1/A380</f>
        <v>2.7979854504756575E-2</v>
      </c>
      <c r="D104" s="11" t="s">
        <v>115</v>
      </c>
    </row>
    <row r="105" spans="1:12">
      <c r="A105" s="5"/>
      <c r="B105" s="11" t="s">
        <v>116</v>
      </c>
      <c r="C105" s="10">
        <f>2.26%*$A$382</f>
        <v>1.42154E-2</v>
      </c>
      <c r="D105" s="11" t="s">
        <v>117</v>
      </c>
    </row>
    <row r="106" spans="1:12">
      <c r="A106" s="5"/>
      <c r="B106" s="11" t="s">
        <v>44</v>
      </c>
      <c r="C106" s="10">
        <f>0.1163%*A382</f>
        <v>7.3152699999999994E-4</v>
      </c>
      <c r="D106" s="11" t="s">
        <v>118</v>
      </c>
    </row>
    <row r="107" spans="1:12">
      <c r="A107" s="5"/>
      <c r="B107" s="11" t="s">
        <v>77</v>
      </c>
      <c r="C107" s="10">
        <f>0.03/A380</f>
        <v>8.3939563514269717E-4</v>
      </c>
      <c r="D107" s="11" t="s">
        <v>38</v>
      </c>
    </row>
    <row r="108" spans="1:12">
      <c r="A108" s="5"/>
      <c r="B108" s="5" t="s">
        <v>11</v>
      </c>
      <c r="C108" s="8">
        <f>SUM(C102:C107)</f>
        <v>0.11376617713989927</v>
      </c>
      <c r="D108" s="11"/>
    </row>
    <row r="109" spans="1:12">
      <c r="A109" s="5"/>
      <c r="B109" s="11"/>
      <c r="C109" s="10"/>
      <c r="D109" s="11"/>
    </row>
    <row r="110" spans="1:12">
      <c r="A110" s="5" t="s">
        <v>119</v>
      </c>
      <c r="C110" s="6"/>
    </row>
    <row r="111" spans="1:12">
      <c r="A111" s="5"/>
      <c r="B111" t="s">
        <v>30</v>
      </c>
      <c r="C111" s="10">
        <v>0.06</v>
      </c>
    </row>
    <row r="112" spans="1:12">
      <c r="A112" s="5"/>
      <c r="B112" s="11" t="s">
        <v>120</v>
      </c>
      <c r="C112" s="10">
        <v>0.01</v>
      </c>
      <c r="D112" s="27" t="s">
        <v>121</v>
      </c>
      <c r="L112" s="28"/>
    </row>
    <row r="113" spans="1:12">
      <c r="A113" s="5"/>
      <c r="B113" s="11" t="s">
        <v>35</v>
      </c>
      <c r="C113" s="10">
        <f>1/A380</f>
        <v>2.7979854504756575E-2</v>
      </c>
      <c r="D113" s="11" t="s">
        <v>115</v>
      </c>
      <c r="L113" s="29"/>
    </row>
    <row r="114" spans="1:12">
      <c r="A114" s="5"/>
      <c r="B114" s="11" t="s">
        <v>122</v>
      </c>
      <c r="C114" s="10">
        <f>0.03/A380</f>
        <v>8.3939563514269717E-4</v>
      </c>
      <c r="D114" s="11" t="s">
        <v>123</v>
      </c>
      <c r="L114" s="28"/>
    </row>
    <row r="115" spans="1:12">
      <c r="A115" s="5"/>
      <c r="B115" s="5" t="s">
        <v>11</v>
      </c>
      <c r="C115" s="8">
        <f>SUM(C111:C114)</f>
        <v>9.881925013989927E-2</v>
      </c>
      <c r="L115" s="28"/>
    </row>
    <row r="116" spans="1:12">
      <c r="A116" s="5"/>
      <c r="C116" s="6"/>
      <c r="L116" s="29"/>
    </row>
    <row r="117" spans="1:12">
      <c r="A117" s="5" t="s">
        <v>124</v>
      </c>
      <c r="C117" s="6"/>
      <c r="L117" s="28"/>
    </row>
    <row r="118" spans="1:12">
      <c r="A118" s="5"/>
      <c r="B118" t="s">
        <v>30</v>
      </c>
      <c r="C118" s="10">
        <v>6.5000000000000002E-2</v>
      </c>
      <c r="D118" t="s">
        <v>125</v>
      </c>
      <c r="L118" s="30"/>
    </row>
    <row r="119" spans="1:12">
      <c r="A119" s="5"/>
      <c r="B119" t="s">
        <v>120</v>
      </c>
      <c r="C119" s="10">
        <f>(1%+2.65%)/2</f>
        <v>1.8249999999999999E-2</v>
      </c>
      <c r="D119" s="27" t="s">
        <v>126</v>
      </c>
      <c r="L119" s="31"/>
    </row>
    <row r="120" spans="1:12">
      <c r="A120" s="5"/>
      <c r="B120" t="s">
        <v>64</v>
      </c>
      <c r="C120" s="10">
        <f>11.44%*$A$382</f>
        <v>7.1957599999999997E-2</v>
      </c>
      <c r="D120" s="11" t="s">
        <v>532</v>
      </c>
      <c r="L120" s="22"/>
    </row>
    <row r="121" spans="1:12">
      <c r="A121" s="5"/>
      <c r="B121" t="s">
        <v>35</v>
      </c>
      <c r="C121" s="10">
        <f>0.9/A380</f>
        <v>2.5181869054280916E-2</v>
      </c>
      <c r="D121" s="11" t="s">
        <v>127</v>
      </c>
      <c r="L121" s="32"/>
    </row>
    <row r="122" spans="1:12">
      <c r="A122" s="5"/>
      <c r="B122" s="5" t="s">
        <v>11</v>
      </c>
      <c r="C122" s="8">
        <f>SUM(C118:C121)</f>
        <v>0.18038946905428091</v>
      </c>
    </row>
    <row r="123" spans="1:12">
      <c r="A123" s="5"/>
      <c r="C123" s="6"/>
      <c r="L123" s="28"/>
    </row>
    <row r="124" spans="1:12">
      <c r="A124" s="5" t="s">
        <v>128</v>
      </c>
      <c r="C124" s="6"/>
      <c r="L124" s="29"/>
    </row>
    <row r="125" spans="1:12">
      <c r="A125" s="5"/>
      <c r="B125" t="s">
        <v>30</v>
      </c>
      <c r="C125" s="10">
        <v>0.06</v>
      </c>
      <c r="D125" t="s">
        <v>8</v>
      </c>
      <c r="L125" s="33"/>
    </row>
    <row r="126" spans="1:12">
      <c r="A126" s="5"/>
      <c r="B126" t="s">
        <v>129</v>
      </c>
      <c r="C126" s="10">
        <v>1.4999999999999999E-2</v>
      </c>
      <c r="D126" t="s">
        <v>130</v>
      </c>
      <c r="L126" s="31"/>
    </row>
    <row r="127" spans="1:12">
      <c r="A127" s="5"/>
      <c r="B127" s="11" t="s">
        <v>131</v>
      </c>
      <c r="C127" s="10">
        <f>0.15/A380</f>
        <v>4.1969781757134859E-3</v>
      </c>
      <c r="D127" t="s">
        <v>132</v>
      </c>
      <c r="L127" s="28"/>
    </row>
    <row r="128" spans="1:12">
      <c r="A128" s="5"/>
      <c r="B128" s="11" t="s">
        <v>133</v>
      </c>
      <c r="C128" s="10">
        <f>0.03/A380</f>
        <v>8.3939563514269717E-4</v>
      </c>
      <c r="D128" t="s">
        <v>134</v>
      </c>
      <c r="L128" s="22"/>
    </row>
    <row r="129" spans="1:12">
      <c r="A129" s="5"/>
      <c r="B129" t="s">
        <v>35</v>
      </c>
      <c r="C129" s="10">
        <f>0.7/A380</f>
        <v>1.95858981533296E-2</v>
      </c>
      <c r="D129" t="s">
        <v>135</v>
      </c>
      <c r="L129" s="33"/>
    </row>
    <row r="130" spans="1:12">
      <c r="A130" s="5"/>
      <c r="B130" t="s">
        <v>136</v>
      </c>
      <c r="C130" s="10">
        <v>1.2999999999999999E-2</v>
      </c>
      <c r="D130" t="s">
        <v>8</v>
      </c>
    </row>
    <row r="131" spans="1:12">
      <c r="A131" s="5"/>
      <c r="B131" s="5" t="s">
        <v>11</v>
      </c>
      <c r="C131" s="8">
        <f>SUM(C125:C130)</f>
        <v>0.11262227196418578</v>
      </c>
      <c r="L131" s="31"/>
    </row>
    <row r="132" spans="1:12">
      <c r="A132" s="5"/>
      <c r="C132" s="6"/>
      <c r="L132" s="34"/>
    </row>
    <row r="133" spans="1:12">
      <c r="A133" s="5" t="s">
        <v>137</v>
      </c>
      <c r="C133" s="6"/>
    </row>
    <row r="134" spans="1:12">
      <c r="A134" s="5"/>
      <c r="B134" t="s">
        <v>30</v>
      </c>
      <c r="C134" s="14">
        <v>3.4500000000000003E-2</v>
      </c>
      <c r="D134" t="s">
        <v>138</v>
      </c>
      <c r="L134" s="32"/>
    </row>
    <row r="135" spans="1:12">
      <c r="A135" s="5"/>
      <c r="B135" s="11" t="s">
        <v>35</v>
      </c>
      <c r="C135" s="10">
        <f>1.05/A380</f>
        <v>2.9378847229994405E-2</v>
      </c>
      <c r="D135" t="s">
        <v>139</v>
      </c>
      <c r="L135" s="32"/>
    </row>
    <row r="136" spans="1:12">
      <c r="A136" s="5"/>
      <c r="B136" s="11" t="s">
        <v>116</v>
      </c>
      <c r="C136" s="10">
        <f>1.29/A380</f>
        <v>3.609401231113598E-2</v>
      </c>
      <c r="D136" t="s">
        <v>140</v>
      </c>
      <c r="F136" s="22"/>
    </row>
    <row r="137" spans="1:12">
      <c r="A137" s="5"/>
      <c r="B137" s="11" t="s">
        <v>77</v>
      </c>
      <c r="C137" s="10">
        <f>0.05/A380</f>
        <v>1.3989927252378287E-3</v>
      </c>
      <c r="D137" t="s">
        <v>141</v>
      </c>
      <c r="L137" s="31"/>
    </row>
    <row r="138" spans="1:12">
      <c r="A138" s="5"/>
      <c r="B138" s="5" t="s">
        <v>11</v>
      </c>
      <c r="C138" s="8">
        <f>SUM(C134:C136)</f>
        <v>9.9972859541130388E-2</v>
      </c>
    </row>
    <row r="139" spans="1:12">
      <c r="A139" s="5"/>
      <c r="C139" s="6"/>
      <c r="L139" s="32"/>
    </row>
    <row r="140" spans="1:12">
      <c r="A140" s="5" t="s">
        <v>142</v>
      </c>
      <c r="C140" s="6"/>
    </row>
    <row r="141" spans="1:12">
      <c r="A141" s="5"/>
      <c r="B141" t="s">
        <v>143</v>
      </c>
      <c r="C141" s="10">
        <v>0.06</v>
      </c>
      <c r="L141" s="35"/>
    </row>
    <row r="142" spans="1:12" ht="15.75" customHeight="1">
      <c r="A142" s="5"/>
      <c r="B142" t="s">
        <v>144</v>
      </c>
      <c r="C142" s="10">
        <f>0.35/A380</f>
        <v>9.7929490766648E-3</v>
      </c>
      <c r="D142" t="s">
        <v>145</v>
      </c>
      <c r="E142" s="24"/>
    </row>
    <row r="143" spans="1:12">
      <c r="A143" s="5"/>
      <c r="B143" t="s">
        <v>146</v>
      </c>
      <c r="C143" s="10">
        <f>0.44/A380</f>
        <v>1.2311135982092892E-2</v>
      </c>
      <c r="D143" t="s">
        <v>147</v>
      </c>
    </row>
    <row r="144" spans="1:12">
      <c r="A144" s="5"/>
      <c r="B144" t="s">
        <v>148</v>
      </c>
      <c r="C144" s="10">
        <f>0.21/A380</f>
        <v>5.8757694459988805E-3</v>
      </c>
      <c r="D144" t="s">
        <v>149</v>
      </c>
    </row>
    <row r="145" spans="1:9">
      <c r="A145" s="5"/>
      <c r="C145" s="10">
        <f>0.1/A380</f>
        <v>2.7979854504756574E-3</v>
      </c>
      <c r="D145" t="s">
        <v>150</v>
      </c>
    </row>
    <row r="146" spans="1:9">
      <c r="A146" s="5"/>
      <c r="B146" s="5" t="s">
        <v>11</v>
      </c>
      <c r="C146" s="8">
        <f>SUM(C141:C145)</f>
        <v>9.0777839955232226E-2</v>
      </c>
      <c r="I146" s="21"/>
    </row>
    <row r="147" spans="1:9">
      <c r="A147" s="5"/>
      <c r="C147" s="6"/>
      <c r="H147" s="13"/>
      <c r="I147" s="20"/>
    </row>
    <row r="148" spans="1:9">
      <c r="A148" s="5" t="s">
        <v>151</v>
      </c>
      <c r="C148" s="6"/>
    </row>
    <row r="149" spans="1:9">
      <c r="A149" s="5"/>
      <c r="B149" t="s">
        <v>30</v>
      </c>
      <c r="C149" s="10">
        <v>0.06</v>
      </c>
      <c r="H149" s="24"/>
    </row>
    <row r="150" spans="1:9">
      <c r="A150" s="5"/>
      <c r="B150" t="s">
        <v>152</v>
      </c>
      <c r="C150" s="10">
        <f>4/A380/2</f>
        <v>5.5959709009513151E-2</v>
      </c>
      <c r="D150" t="s">
        <v>153</v>
      </c>
      <c r="H150" s="25"/>
    </row>
    <row r="151" spans="1:9">
      <c r="A151" s="5"/>
      <c r="B151" t="s">
        <v>42</v>
      </c>
      <c r="C151" s="10">
        <f>0.5/A380</f>
        <v>1.3989927252378288E-2</v>
      </c>
      <c r="D151" t="s">
        <v>154</v>
      </c>
    </row>
    <row r="152" spans="1:9">
      <c r="A152" s="5"/>
      <c r="B152" s="11" t="s">
        <v>62</v>
      </c>
      <c r="C152" s="10">
        <f>((1+0.75)/2)/A380</f>
        <v>2.4482372691662001E-2</v>
      </c>
      <c r="D152" t="s">
        <v>155</v>
      </c>
    </row>
    <row r="153" spans="1:9">
      <c r="A153" s="5"/>
      <c r="B153" s="11" t="s">
        <v>17</v>
      </c>
      <c r="C153" s="10">
        <f>0.05/A380</f>
        <v>1.3989927252378287E-3</v>
      </c>
      <c r="D153" t="s">
        <v>156</v>
      </c>
    </row>
    <row r="154" spans="1:9">
      <c r="A154" s="5"/>
      <c r="B154" s="5" t="s">
        <v>11</v>
      </c>
      <c r="C154" s="8">
        <f>SUM(C149:C153)</f>
        <v>0.15583100167879127</v>
      </c>
    </row>
    <row r="155" spans="1:9">
      <c r="A155" s="5"/>
      <c r="C155" s="6"/>
      <c r="H155" s="11"/>
    </row>
    <row r="156" spans="1:9">
      <c r="A156" s="5" t="s">
        <v>157</v>
      </c>
      <c r="C156" s="6"/>
    </row>
    <row r="157" spans="1:9">
      <c r="A157" s="5"/>
      <c r="B157" t="s">
        <v>30</v>
      </c>
      <c r="C157" s="10">
        <v>6.25E-2</v>
      </c>
      <c r="D157" t="s">
        <v>158</v>
      </c>
    </row>
    <row r="158" spans="1:9">
      <c r="A158" s="5"/>
      <c r="B158" t="s">
        <v>35</v>
      </c>
      <c r="C158" s="10">
        <f>1.5/A380</f>
        <v>4.1969781757134859E-2</v>
      </c>
      <c r="D158" t="s">
        <v>159</v>
      </c>
    </row>
    <row r="159" spans="1:9">
      <c r="A159" s="5"/>
      <c r="B159" s="5" t="s">
        <v>11</v>
      </c>
      <c r="C159" s="8">
        <f>SUM(C157:C158)</f>
        <v>0.10446978175713487</v>
      </c>
    </row>
    <row r="160" spans="1:9">
      <c r="A160" s="5"/>
      <c r="C160" s="6"/>
    </row>
    <row r="161" spans="1:10">
      <c r="A161" s="5" t="s">
        <v>160</v>
      </c>
      <c r="C161" s="6"/>
    </row>
    <row r="162" spans="1:10">
      <c r="A162" s="5"/>
      <c r="B162" t="s">
        <v>30</v>
      </c>
      <c r="C162" s="10">
        <v>0.06</v>
      </c>
      <c r="D162" t="s">
        <v>158</v>
      </c>
    </row>
    <row r="163" spans="1:10">
      <c r="A163" s="5"/>
      <c r="B163" t="s">
        <v>161</v>
      </c>
      <c r="C163" s="10">
        <f>0.25/A380</f>
        <v>6.9949636261891438E-3</v>
      </c>
      <c r="D163" t="s">
        <v>162</v>
      </c>
    </row>
    <row r="164" spans="1:10">
      <c r="A164" s="5"/>
      <c r="B164" t="s">
        <v>163</v>
      </c>
      <c r="C164" s="10">
        <f>2.22/2/A380</f>
        <v>3.1057638500279799E-2</v>
      </c>
      <c r="D164" t="s">
        <v>164</v>
      </c>
    </row>
    <row r="165" spans="1:10">
      <c r="A165" s="5"/>
      <c r="B165" t="s">
        <v>165</v>
      </c>
      <c r="C165" s="10">
        <v>0</v>
      </c>
      <c r="D165" t="s">
        <v>166</v>
      </c>
    </row>
    <row r="166" spans="1:10">
      <c r="A166" s="5"/>
      <c r="B166" s="5" t="s">
        <v>11</v>
      </c>
      <c r="C166" s="8">
        <f>SUM(C162:C165)</f>
        <v>9.8052602126468949E-2</v>
      </c>
      <c r="H166" s="36"/>
      <c r="J166" s="17"/>
    </row>
    <row r="167" spans="1:10">
      <c r="A167" s="5"/>
      <c r="C167" s="6"/>
    </row>
    <row r="168" spans="1:10">
      <c r="A168" s="5" t="s">
        <v>167</v>
      </c>
      <c r="C168" s="6"/>
    </row>
    <row r="169" spans="1:10">
      <c r="A169" s="5"/>
      <c r="B169" t="s">
        <v>30</v>
      </c>
      <c r="C169" s="10">
        <v>6.8750000000000006E-2</v>
      </c>
      <c r="D169" t="s">
        <v>158</v>
      </c>
    </row>
    <row r="170" spans="1:10">
      <c r="A170" s="5"/>
      <c r="B170" t="s">
        <v>90</v>
      </c>
      <c r="C170" s="10">
        <f>(1.15%+1%)/2</f>
        <v>1.0749999999999999E-2</v>
      </c>
      <c r="D170" t="s">
        <v>168</v>
      </c>
    </row>
    <row r="171" spans="1:10">
      <c r="A171" s="5"/>
      <c r="B171" s="37">
        <v>911</v>
      </c>
      <c r="C171" s="10">
        <f>0.8/A380</f>
        <v>2.238388360380526E-2</v>
      </c>
      <c r="D171" t="s">
        <v>169</v>
      </c>
    </row>
    <row r="172" spans="1:10">
      <c r="A172" s="5"/>
      <c r="B172" s="11" t="s">
        <v>170</v>
      </c>
      <c r="C172" s="10">
        <f>0.06/A380</f>
        <v>1.6787912702853943E-3</v>
      </c>
      <c r="D172" t="s">
        <v>171</v>
      </c>
    </row>
    <row r="173" spans="1:10">
      <c r="A173" s="5"/>
      <c r="B173" s="5" t="s">
        <v>11</v>
      </c>
      <c r="C173" s="8">
        <f>SUM(C169:C172)</f>
        <v>0.10356267487409065</v>
      </c>
    </row>
    <row r="174" spans="1:10">
      <c r="A174" s="5"/>
      <c r="C174" s="6"/>
    </row>
    <row r="175" spans="1:10">
      <c r="A175" s="5" t="s">
        <v>172</v>
      </c>
      <c r="C175" s="6"/>
    </row>
    <row r="176" spans="1:10">
      <c r="A176" s="5"/>
      <c r="B176" t="s">
        <v>30</v>
      </c>
      <c r="C176" s="10">
        <v>7.0000000000000007E-2</v>
      </c>
      <c r="D176" t="s">
        <v>8</v>
      </c>
    </row>
    <row r="177" spans="1:11">
      <c r="A177" s="5"/>
      <c r="B177" t="s">
        <v>173</v>
      </c>
      <c r="C177" s="10">
        <f>1.05/A380</f>
        <v>2.9378847229994405E-2</v>
      </c>
      <c r="D177" t="s">
        <v>174</v>
      </c>
      <c r="I177" s="36"/>
    </row>
    <row r="178" spans="1:11">
      <c r="A178" s="5"/>
      <c r="B178" s="5" t="s">
        <v>11</v>
      </c>
      <c r="C178" s="8">
        <f>SUM(C176:C177)</f>
        <v>9.9378847229994405E-2</v>
      </c>
      <c r="J178" s="18"/>
      <c r="K178" s="17"/>
    </row>
    <row r="179" spans="1:11">
      <c r="A179" s="5"/>
      <c r="C179" s="6"/>
    </row>
    <row r="180" spans="1:11">
      <c r="A180" s="5" t="s">
        <v>175</v>
      </c>
      <c r="C180" s="6"/>
    </row>
    <row r="181" spans="1:11">
      <c r="A181" s="5"/>
      <c r="B181" t="s">
        <v>30</v>
      </c>
      <c r="C181" s="10">
        <v>4.2250000000000003E-2</v>
      </c>
      <c r="D181" t="s">
        <v>112</v>
      </c>
    </row>
    <row r="182" spans="1:11">
      <c r="A182" s="5"/>
      <c r="B182" t="s">
        <v>31</v>
      </c>
      <c r="C182" s="10">
        <f>(3.75%+4.875%)/2</f>
        <v>4.3124999999999997E-2</v>
      </c>
      <c r="D182" t="s">
        <v>176</v>
      </c>
    </row>
    <row r="183" spans="1:11">
      <c r="A183" s="5"/>
      <c r="B183" s="11" t="s">
        <v>177</v>
      </c>
      <c r="C183" s="10">
        <v>6.5000000000000002E-2</v>
      </c>
      <c r="D183" t="s">
        <v>178</v>
      </c>
    </row>
    <row r="184" spans="1:11">
      <c r="A184" s="5"/>
      <c r="B184" s="5" t="s">
        <v>11</v>
      </c>
      <c r="C184" s="8">
        <f>SUM(C181:C183)</f>
        <v>0.15037500000000001</v>
      </c>
    </row>
    <row r="185" spans="1:11">
      <c r="A185" s="5"/>
      <c r="C185" s="6"/>
    </row>
    <row r="186" spans="1:11">
      <c r="A186" s="5" t="s">
        <v>179</v>
      </c>
      <c r="C186" s="6"/>
    </row>
    <row r="187" spans="1:11">
      <c r="A187" s="5"/>
      <c r="B187" t="s">
        <v>180</v>
      </c>
      <c r="C187" s="10">
        <v>3.7499999999999999E-2</v>
      </c>
      <c r="D187" t="s">
        <v>8</v>
      </c>
    </row>
    <row r="188" spans="1:11">
      <c r="A188" s="5"/>
      <c r="B188" t="s">
        <v>181</v>
      </c>
      <c r="C188" s="10">
        <f>1/A380</f>
        <v>2.7979854504756575E-2</v>
      </c>
      <c r="D188" t="s">
        <v>182</v>
      </c>
    </row>
    <row r="189" spans="1:11">
      <c r="A189" s="5"/>
      <c r="B189" t="s">
        <v>183</v>
      </c>
      <c r="C189" s="10">
        <f>0.1/A380</f>
        <v>2.7979854504756574E-3</v>
      </c>
      <c r="D189" t="s">
        <v>184</v>
      </c>
    </row>
    <row r="190" spans="1:11">
      <c r="A190" s="5"/>
      <c r="B190" s="5" t="s">
        <v>11</v>
      </c>
      <c r="C190" s="8">
        <f>SUM(C187:C189)</f>
        <v>6.8277839955232233E-2</v>
      </c>
      <c r="J190" s="21"/>
    </row>
    <row r="191" spans="1:11">
      <c r="A191" s="5"/>
      <c r="C191" s="6"/>
    </row>
    <row r="192" spans="1:11">
      <c r="A192" s="5" t="s">
        <v>185</v>
      </c>
      <c r="C192" s="6"/>
      <c r="I192" s="38"/>
    </row>
    <row r="193" spans="1:4">
      <c r="A193" s="5"/>
      <c r="B193" t="s">
        <v>30</v>
      </c>
      <c r="C193" s="10">
        <v>5.5E-2</v>
      </c>
      <c r="D193" t="s">
        <v>186</v>
      </c>
    </row>
    <row r="194" spans="1:4">
      <c r="A194" s="5"/>
      <c r="B194" t="s">
        <v>90</v>
      </c>
      <c r="C194" s="14">
        <f>(1.75%+1.5%)/2</f>
        <v>1.6250000000000001E-2</v>
      </c>
      <c r="D194" t="s">
        <v>187</v>
      </c>
    </row>
    <row r="195" spans="1:4">
      <c r="A195" s="5"/>
      <c r="B195" t="s">
        <v>188</v>
      </c>
      <c r="C195" s="10">
        <f>(6%+6.25%)/2</f>
        <v>6.1249999999999999E-2</v>
      </c>
      <c r="D195" t="s">
        <v>189</v>
      </c>
    </row>
    <row r="196" spans="1:4">
      <c r="A196" s="5"/>
      <c r="B196" t="s">
        <v>116</v>
      </c>
      <c r="C196" s="10">
        <f>1.75/A380</f>
        <v>4.8964745383324002E-2</v>
      </c>
      <c r="D196" t="s">
        <v>190</v>
      </c>
    </row>
    <row r="197" spans="1:4">
      <c r="A197" s="5"/>
      <c r="B197" s="11" t="s">
        <v>35</v>
      </c>
      <c r="C197" s="10">
        <f>0.45/A380</f>
        <v>1.2590934527140458E-2</v>
      </c>
      <c r="D197" t="s">
        <v>191</v>
      </c>
    </row>
    <row r="198" spans="1:4">
      <c r="A198" s="5"/>
      <c r="B198" t="s">
        <v>19</v>
      </c>
      <c r="C198" s="10">
        <f>0.03/A380</f>
        <v>8.3939563514269717E-4</v>
      </c>
      <c r="D198" t="s">
        <v>192</v>
      </c>
    </row>
    <row r="199" spans="1:4">
      <c r="A199" s="5"/>
      <c r="B199" s="5" t="s">
        <v>11</v>
      </c>
      <c r="C199" s="8">
        <f>SUM(C193:C198)</f>
        <v>0.1948950755456072</v>
      </c>
    </row>
    <row r="200" spans="1:4">
      <c r="A200" s="5"/>
      <c r="C200" s="6"/>
    </row>
    <row r="201" spans="1:4">
      <c r="A201" s="5" t="s">
        <v>193</v>
      </c>
      <c r="C201" s="6"/>
    </row>
    <row r="202" spans="1:4">
      <c r="A202" s="5"/>
      <c r="B202" t="s">
        <v>194</v>
      </c>
      <c r="C202" s="10">
        <f>0.75/A380</f>
        <v>2.098489087856743E-2</v>
      </c>
      <c r="D202" t="s">
        <v>195</v>
      </c>
    </row>
    <row r="203" spans="1:4">
      <c r="A203" s="5"/>
      <c r="B203" t="s">
        <v>75</v>
      </c>
      <c r="C203" s="10">
        <f>0.425/A380</f>
        <v>1.1891438164521543E-2</v>
      </c>
      <c r="D203" t="s">
        <v>196</v>
      </c>
    </row>
    <row r="204" spans="1:4">
      <c r="A204" s="5"/>
      <c r="B204" t="s">
        <v>197</v>
      </c>
      <c r="C204" s="10">
        <f>0.07/A380</f>
        <v>1.9585898153329602E-3</v>
      </c>
      <c r="D204" t="s">
        <v>198</v>
      </c>
    </row>
    <row r="205" spans="1:4">
      <c r="A205" s="5"/>
      <c r="B205" t="s">
        <v>199</v>
      </c>
      <c r="C205" s="10">
        <f>0.0057*$A$382</f>
        <v>3.5853E-3</v>
      </c>
      <c r="D205" t="s">
        <v>200</v>
      </c>
    </row>
    <row r="206" spans="1:4">
      <c r="A206" s="5"/>
      <c r="B206" s="5" t="s">
        <v>11</v>
      </c>
      <c r="C206" s="8">
        <f>SUM(C202:C205)</f>
        <v>3.842021885842193E-2</v>
      </c>
    </row>
    <row r="207" spans="1:4">
      <c r="A207" s="5"/>
      <c r="C207" s="6"/>
    </row>
    <row r="208" spans="1:4">
      <c r="A208" s="5" t="s">
        <v>201</v>
      </c>
      <c r="C208" s="6"/>
    </row>
    <row r="209" spans="1:14">
      <c r="A209" s="5"/>
      <c r="B209" t="s">
        <v>202</v>
      </c>
      <c r="C209" s="10">
        <v>7.0000000000000007E-2</v>
      </c>
      <c r="D209" t="s">
        <v>8</v>
      </c>
    </row>
    <row r="210" spans="1:14">
      <c r="A210" s="5"/>
      <c r="B210" t="s">
        <v>203</v>
      </c>
      <c r="C210" s="10">
        <f>0.75/A380</f>
        <v>2.098489087856743E-2</v>
      </c>
      <c r="D210" t="s">
        <v>204</v>
      </c>
    </row>
    <row r="211" spans="1:14">
      <c r="A211" s="5"/>
      <c r="B211" s="5" t="s">
        <v>11</v>
      </c>
      <c r="C211" s="8">
        <f>SUM(C209:C210)</f>
        <v>9.098489087856744E-2</v>
      </c>
    </row>
    <row r="212" spans="1:14">
      <c r="A212" s="5"/>
      <c r="C212" s="6"/>
    </row>
    <row r="213" spans="1:14">
      <c r="A213" s="5" t="s">
        <v>205</v>
      </c>
      <c r="C213" s="6"/>
    </row>
    <row r="214" spans="1:14">
      <c r="A214" s="5"/>
      <c r="B214" t="s">
        <v>30</v>
      </c>
      <c r="C214" s="10">
        <v>6.6250000000000003E-2</v>
      </c>
    </row>
    <row r="215" spans="1:14">
      <c r="A215" s="5"/>
      <c r="B215" t="s">
        <v>35</v>
      </c>
      <c r="C215" s="10">
        <f>0.9/A380</f>
        <v>2.5181869054280916E-2</v>
      </c>
      <c r="D215" t="s">
        <v>206</v>
      </c>
    </row>
    <row r="216" spans="1:14">
      <c r="A216" s="5"/>
      <c r="B216" s="5" t="s">
        <v>11</v>
      </c>
      <c r="C216" s="8">
        <f>SUM(C214:C215)</f>
        <v>9.1431869054280912E-2</v>
      </c>
      <c r="M216" s="17"/>
      <c r="N216" s="17"/>
    </row>
    <row r="217" spans="1:14">
      <c r="A217" s="5"/>
      <c r="C217" s="6"/>
      <c r="H217" s="11"/>
      <c r="K217" s="17"/>
      <c r="L217" s="17"/>
      <c r="M217" s="17"/>
      <c r="N217" s="17"/>
    </row>
    <row r="218" spans="1:14">
      <c r="A218" s="5" t="s">
        <v>207</v>
      </c>
      <c r="C218" s="6"/>
      <c r="K218" s="17"/>
      <c r="L218" s="17"/>
      <c r="M218" s="17"/>
      <c r="N218" s="17"/>
    </row>
    <row r="219" spans="1:14">
      <c r="A219" s="5"/>
      <c r="B219" t="s">
        <v>208</v>
      </c>
      <c r="C219" s="10">
        <v>0.05</v>
      </c>
      <c r="D219" t="s">
        <v>209</v>
      </c>
      <c r="K219" s="18"/>
      <c r="L219" s="17"/>
      <c r="M219" s="18"/>
    </row>
    <row r="220" spans="1:14">
      <c r="A220" s="5"/>
      <c r="B220" t="s">
        <v>210</v>
      </c>
      <c r="C220" s="10">
        <f>(3.3125%+2.75%)/2</f>
        <v>3.0312499999999999E-2</v>
      </c>
      <c r="D220" s="11" t="s">
        <v>211</v>
      </c>
      <c r="K220" s="17"/>
      <c r="L220" s="17"/>
      <c r="M220" s="17"/>
    </row>
    <row r="221" spans="1:14">
      <c r="A221" s="5"/>
      <c r="B221" t="s">
        <v>35</v>
      </c>
      <c r="C221" s="10">
        <f>0.51/A380</f>
        <v>1.4269725797425853E-2</v>
      </c>
      <c r="D221" t="s">
        <v>212</v>
      </c>
      <c r="K221" s="18"/>
      <c r="L221" s="17"/>
      <c r="M221" s="18"/>
    </row>
    <row r="222" spans="1:14">
      <c r="A222" s="5"/>
      <c r="B222" t="s">
        <v>213</v>
      </c>
      <c r="C222" s="10">
        <f>0.33%*A382</f>
        <v>2.0757000000000002E-3</v>
      </c>
      <c r="D222" t="s">
        <v>214</v>
      </c>
      <c r="M222" s="17"/>
    </row>
    <row r="223" spans="1:14">
      <c r="A223" s="5"/>
      <c r="B223" t="s">
        <v>116</v>
      </c>
      <c r="C223" s="10">
        <f>0.95/A380</f>
        <v>2.6580861779518745E-2</v>
      </c>
      <c r="D223" t="s">
        <v>215</v>
      </c>
    </row>
    <row r="224" spans="1:14">
      <c r="A224" s="5"/>
      <c r="B224" s="5" t="s">
        <v>11</v>
      </c>
      <c r="C224" s="8">
        <f>SUM(C219:C223)</f>
        <v>0.12323878757694462</v>
      </c>
      <c r="I224" s="21"/>
    </row>
    <row r="225" spans="1:10">
      <c r="A225" s="5"/>
      <c r="C225" s="39"/>
      <c r="I225" s="36"/>
    </row>
    <row r="226" spans="1:10">
      <c r="A226" s="5"/>
      <c r="C226" s="6"/>
    </row>
    <row r="227" spans="1:10">
      <c r="A227" s="5" t="s">
        <v>216</v>
      </c>
      <c r="C227" s="6"/>
    </row>
    <row r="228" spans="1:10">
      <c r="A228" s="5"/>
      <c r="B228" t="s">
        <v>30</v>
      </c>
      <c r="C228" s="10">
        <v>0.04</v>
      </c>
      <c r="D228" t="s">
        <v>217</v>
      </c>
    </row>
    <row r="229" spans="1:10">
      <c r="A229" s="5"/>
      <c r="B229" t="s">
        <v>31</v>
      </c>
      <c r="C229" s="10">
        <f>(4%+4.5%)/2</f>
        <v>4.2499999999999996E-2</v>
      </c>
      <c r="D229" s="27" t="s">
        <v>218</v>
      </c>
      <c r="J229" s="17"/>
    </row>
    <row r="230" spans="1:10">
      <c r="A230" s="5"/>
      <c r="B230" t="s">
        <v>219</v>
      </c>
      <c r="C230" s="10">
        <f>0.375%/2</f>
        <v>1.8749999999999999E-3</v>
      </c>
      <c r="D230" s="27" t="s">
        <v>220</v>
      </c>
      <c r="J230" s="40"/>
    </row>
    <row r="231" spans="1:10">
      <c r="A231" s="5"/>
      <c r="B231" t="s">
        <v>221</v>
      </c>
      <c r="C231" s="10">
        <v>2.9000000000000001E-2</v>
      </c>
      <c r="D231" t="s">
        <v>222</v>
      </c>
      <c r="J231" s="17"/>
    </row>
    <row r="232" spans="1:10">
      <c r="A232" s="5"/>
      <c r="B232" t="s">
        <v>223</v>
      </c>
      <c r="C232" s="10">
        <f>(0.721%)/2</f>
        <v>3.6049999999999997E-3</v>
      </c>
      <c r="D232" t="s">
        <v>224</v>
      </c>
    </row>
    <row r="233" spans="1:10">
      <c r="A233" s="5"/>
      <c r="B233" t="s">
        <v>225</v>
      </c>
      <c r="C233" s="10">
        <f>((0.84*0.0235)+0.01)/2</f>
        <v>1.4870000000000001E-2</v>
      </c>
      <c r="D233" s="11" t="s">
        <v>226</v>
      </c>
    </row>
    <row r="234" spans="1:10">
      <c r="A234" s="5"/>
      <c r="B234" t="s">
        <v>161</v>
      </c>
      <c r="C234" s="10">
        <f>1.2/A380</f>
        <v>3.3575825405707888E-2</v>
      </c>
      <c r="D234" t="s">
        <v>227</v>
      </c>
    </row>
    <row r="235" spans="1:10">
      <c r="A235" s="5"/>
      <c r="B235" t="s">
        <v>228</v>
      </c>
      <c r="C235" s="10">
        <f>0.3/A380</f>
        <v>8.3939563514269719E-3</v>
      </c>
      <c r="D235" t="s">
        <v>229</v>
      </c>
    </row>
    <row r="236" spans="1:10">
      <c r="A236" s="5"/>
      <c r="B236" t="s">
        <v>230</v>
      </c>
      <c r="C236" s="10">
        <v>1.4999999999999999E-2</v>
      </c>
      <c r="D236" t="s">
        <v>231</v>
      </c>
    </row>
    <row r="237" spans="1:10">
      <c r="A237" s="5"/>
      <c r="B237" s="5" t="s">
        <v>11</v>
      </c>
      <c r="C237" s="8">
        <f>SUM(C228:C236)</f>
        <v>0.18881978175713487</v>
      </c>
    </row>
    <row r="238" spans="1:10">
      <c r="A238" s="5"/>
      <c r="C238" s="6"/>
    </row>
    <row r="239" spans="1:10">
      <c r="A239" s="5" t="s">
        <v>232</v>
      </c>
      <c r="C239" s="6"/>
      <c r="E239" s="23"/>
    </row>
    <row r="240" spans="1:10">
      <c r="A240" s="5"/>
      <c r="B240" t="s">
        <v>233</v>
      </c>
      <c r="C240" s="14">
        <v>7.0000000000000007E-2</v>
      </c>
      <c r="D240" t="s">
        <v>234</v>
      </c>
    </row>
    <row r="241" spans="1:5">
      <c r="A241" s="5"/>
      <c r="B241" t="s">
        <v>35</v>
      </c>
      <c r="C241" s="10">
        <f>0.65/A380</f>
        <v>1.8186905428091774E-2</v>
      </c>
      <c r="D241" s="11" t="s">
        <v>235</v>
      </c>
    </row>
    <row r="242" spans="1:5">
      <c r="A242" s="5"/>
      <c r="B242" t="s">
        <v>236</v>
      </c>
      <c r="C242" s="10">
        <f>0.08/A380</f>
        <v>2.2383883603805258E-3</v>
      </c>
      <c r="D242" s="11" t="s">
        <v>237</v>
      </c>
    </row>
    <row r="243" spans="1:5">
      <c r="A243" s="5"/>
      <c r="B243" s="5" t="s">
        <v>11</v>
      </c>
      <c r="C243" s="8">
        <f>SUM(C240:C242)</f>
        <v>9.0425293788472305E-2</v>
      </c>
    </row>
    <row r="244" spans="1:5">
      <c r="A244" s="5"/>
      <c r="C244" s="6"/>
    </row>
    <row r="245" spans="1:5">
      <c r="A245" s="5" t="s">
        <v>238</v>
      </c>
      <c r="C245" s="6"/>
    </row>
    <row r="246" spans="1:5">
      <c r="A246" s="5"/>
      <c r="B246" t="s">
        <v>30</v>
      </c>
      <c r="C246" s="10">
        <v>0.05</v>
      </c>
      <c r="D246" t="s">
        <v>112</v>
      </c>
    </row>
    <row r="247" spans="1:5">
      <c r="A247" s="5"/>
      <c r="B247" t="s">
        <v>31</v>
      </c>
      <c r="C247" s="10">
        <v>2.2499999999999999E-2</v>
      </c>
      <c r="D247" t="s">
        <v>239</v>
      </c>
      <c r="E247" s="41"/>
    </row>
    <row r="248" spans="1:5">
      <c r="A248" s="5"/>
      <c r="B248" t="s">
        <v>240</v>
      </c>
      <c r="C248" s="10">
        <v>2.5000000000000001E-2</v>
      </c>
      <c r="D248" t="s">
        <v>241</v>
      </c>
    </row>
    <row r="249" spans="1:5">
      <c r="A249" s="5"/>
      <c r="B249" s="42" t="s">
        <v>242</v>
      </c>
      <c r="C249" s="10">
        <f>0.5/A380</f>
        <v>1.3989927252378288E-2</v>
      </c>
      <c r="D249" s="43" t="s">
        <v>243</v>
      </c>
    </row>
    <row r="250" spans="1:5">
      <c r="A250" s="5"/>
      <c r="B250" t="s">
        <v>75</v>
      </c>
      <c r="C250" s="10">
        <f>1.5/A380</f>
        <v>4.1969781757134859E-2</v>
      </c>
      <c r="D250" t="s">
        <v>244</v>
      </c>
    </row>
    <row r="251" spans="1:5">
      <c r="A251" s="5"/>
      <c r="B251" s="11" t="s">
        <v>19</v>
      </c>
      <c r="C251" s="10">
        <f>0.03/A380</f>
        <v>8.3939563514269717E-4</v>
      </c>
      <c r="D251" t="s">
        <v>245</v>
      </c>
    </row>
    <row r="252" spans="1:5">
      <c r="A252" s="5"/>
      <c r="B252" s="5" t="s">
        <v>11</v>
      </c>
      <c r="C252" s="8">
        <f>SUM(C246:C251)</f>
        <v>0.15429910464465585</v>
      </c>
    </row>
    <row r="253" spans="1:5">
      <c r="A253" s="5"/>
      <c r="C253" s="6"/>
    </row>
    <row r="254" spans="1:5">
      <c r="A254" s="5" t="s">
        <v>246</v>
      </c>
      <c r="C254" s="6"/>
    </row>
    <row r="255" spans="1:5">
      <c r="A255" s="5"/>
      <c r="B255" t="s">
        <v>30</v>
      </c>
      <c r="C255" s="10">
        <v>5.7500000000000002E-2</v>
      </c>
      <c r="D255" t="s">
        <v>8</v>
      </c>
    </row>
    <row r="256" spans="1:5">
      <c r="A256" s="5"/>
      <c r="B256" t="s">
        <v>31</v>
      </c>
      <c r="C256" s="10">
        <v>0.02</v>
      </c>
      <c r="D256" t="s">
        <v>247</v>
      </c>
    </row>
    <row r="257" spans="1:8">
      <c r="A257" s="5"/>
      <c r="B257" t="s">
        <v>248</v>
      </c>
      <c r="C257" s="10">
        <f>0.174%*A382</f>
        <v>1.0944599999999998E-3</v>
      </c>
      <c r="D257" t="s">
        <v>249</v>
      </c>
    </row>
    <row r="258" spans="1:8">
      <c r="A258" s="5"/>
      <c r="B258" t="s">
        <v>250</v>
      </c>
      <c r="C258" s="10">
        <f>0.25/$A$380</f>
        <v>6.9949636261891438E-3</v>
      </c>
      <c r="D258" t="s">
        <v>251</v>
      </c>
    </row>
    <row r="259" spans="1:8">
      <c r="A259" s="5"/>
      <c r="B259" s="5" t="s">
        <v>11</v>
      </c>
      <c r="C259" s="8">
        <f>SUM(C255:C258)</f>
        <v>8.5589423626189154E-2</v>
      </c>
    </row>
    <row r="260" spans="1:8">
      <c r="A260" s="5"/>
      <c r="C260" s="6"/>
    </row>
    <row r="261" spans="1:8">
      <c r="A261" s="5" t="s">
        <v>252</v>
      </c>
      <c r="C261" s="6"/>
    </row>
    <row r="262" spans="1:8">
      <c r="A262" s="5"/>
      <c r="B262" t="s">
        <v>30</v>
      </c>
      <c r="C262" s="10">
        <v>4.4999999999999998E-2</v>
      </c>
      <c r="D262" t="s">
        <v>8</v>
      </c>
      <c r="E262" s="13"/>
      <c r="H262" s="11"/>
    </row>
    <row r="263" spans="1:8">
      <c r="A263" s="5"/>
      <c r="B263" t="s">
        <v>31</v>
      </c>
      <c r="C263" s="10">
        <f>(4.125%+4.017%)/2</f>
        <v>4.0710000000000003E-2</v>
      </c>
      <c r="D263" t="s">
        <v>253</v>
      </c>
    </row>
    <row r="264" spans="1:8">
      <c r="A264" s="5"/>
      <c r="B264" t="s">
        <v>92</v>
      </c>
      <c r="C264" s="10">
        <f>0.75/A380</f>
        <v>2.098489087856743E-2</v>
      </c>
      <c r="D264" t="s">
        <v>254</v>
      </c>
    </row>
    <row r="265" spans="1:8">
      <c r="A265" s="5"/>
      <c r="B265" t="s">
        <v>64</v>
      </c>
      <c r="C265" s="10">
        <f>1.14/A380</f>
        <v>3.189703413542249E-2</v>
      </c>
      <c r="D265" t="s">
        <v>255</v>
      </c>
    </row>
    <row r="266" spans="1:8">
      <c r="A266" s="5"/>
      <c r="B266" s="5" t="s">
        <v>11</v>
      </c>
      <c r="C266" s="8">
        <f>SUM(C262:C265)</f>
        <v>0.13859192501398993</v>
      </c>
    </row>
    <row r="267" spans="1:8">
      <c r="A267" s="5"/>
      <c r="C267" s="6"/>
    </row>
    <row r="268" spans="1:8">
      <c r="A268" s="5" t="s">
        <v>256</v>
      </c>
      <c r="C268" s="6"/>
    </row>
    <row r="269" spans="1:8">
      <c r="A269" s="5"/>
      <c r="B269" t="s">
        <v>257</v>
      </c>
      <c r="C269" s="10">
        <v>0</v>
      </c>
      <c r="D269" t="s">
        <v>258</v>
      </c>
    </row>
    <row r="270" spans="1:8">
      <c r="A270" s="5"/>
      <c r="B270" t="s">
        <v>203</v>
      </c>
      <c r="C270" s="10">
        <f>1.25/A380</f>
        <v>3.4974818130945717E-2</v>
      </c>
      <c r="D270" t="s">
        <v>259</v>
      </c>
    </row>
    <row r="271" spans="1:8">
      <c r="A271" s="5"/>
      <c r="B271" t="s">
        <v>260</v>
      </c>
      <c r="C271" s="14">
        <f>0.09/A380</f>
        <v>2.5181869054280914E-3</v>
      </c>
      <c r="D271" t="s">
        <v>261</v>
      </c>
    </row>
    <row r="272" spans="1:8">
      <c r="A272" s="5"/>
      <c r="B272" t="s">
        <v>116</v>
      </c>
      <c r="C272" s="14">
        <f>0.06*A382</f>
        <v>3.7739999999999996E-2</v>
      </c>
      <c r="D272" t="s">
        <v>262</v>
      </c>
    </row>
    <row r="273" spans="1:9">
      <c r="A273" s="5"/>
      <c r="B273" s="5" t="s">
        <v>11</v>
      </c>
      <c r="C273" s="8">
        <f>SUM(C269:C272)</f>
        <v>7.5233005036373812E-2</v>
      </c>
      <c r="D273" s="12"/>
      <c r="I273" s="17"/>
    </row>
    <row r="274" spans="1:9">
      <c r="A274" s="5"/>
      <c r="C274" s="6"/>
      <c r="D274" s="12"/>
    </row>
    <row r="275" spans="1:9">
      <c r="A275" s="5"/>
      <c r="C275" s="6"/>
    </row>
    <row r="276" spans="1:9">
      <c r="A276" s="5" t="s">
        <v>263</v>
      </c>
      <c r="C276" s="6"/>
    </row>
    <row r="277" spans="1:9">
      <c r="A277" s="5"/>
      <c r="B277" t="s">
        <v>30</v>
      </c>
      <c r="C277" s="10">
        <v>0.06</v>
      </c>
      <c r="D277" t="s">
        <v>8</v>
      </c>
    </row>
    <row r="278" spans="1:9">
      <c r="A278" s="5"/>
      <c r="B278" t="s">
        <v>240</v>
      </c>
      <c r="C278" s="10">
        <v>0.05</v>
      </c>
      <c r="D278" t="s">
        <v>8</v>
      </c>
    </row>
    <row r="279" spans="1:9">
      <c r="A279" s="5"/>
      <c r="B279" t="s">
        <v>90</v>
      </c>
      <c r="C279" s="10">
        <v>0.01</v>
      </c>
      <c r="D279" t="s">
        <v>264</v>
      </c>
    </row>
    <row r="280" spans="1:9">
      <c r="A280" s="5"/>
      <c r="B280" t="s">
        <v>104</v>
      </c>
      <c r="C280" s="10">
        <f>1.65/A380</f>
        <v>4.6166759932848342E-2</v>
      </c>
      <c r="D280" t="s">
        <v>265</v>
      </c>
    </row>
    <row r="281" spans="1:9">
      <c r="A281" s="5"/>
      <c r="B281" s="5" t="s">
        <v>11</v>
      </c>
      <c r="C281" s="8">
        <f>SUM(C277:C280)</f>
        <v>0.16616675993284835</v>
      </c>
      <c r="D281" s="12"/>
    </row>
    <row r="282" spans="1:9">
      <c r="A282" s="5"/>
      <c r="C282" s="6"/>
    </row>
    <row r="283" spans="1:9">
      <c r="A283" s="5" t="s">
        <v>266</v>
      </c>
      <c r="B283" t="s">
        <v>267</v>
      </c>
      <c r="C283" s="6">
        <v>0.115</v>
      </c>
    </row>
    <row r="284" spans="1:9">
      <c r="A284" s="5"/>
      <c r="B284" t="s">
        <v>144</v>
      </c>
      <c r="C284" s="6">
        <f>0.5/A380</f>
        <v>1.3989927252378288E-2</v>
      </c>
      <c r="D284" t="s">
        <v>268</v>
      </c>
    </row>
    <row r="285" spans="1:9">
      <c r="A285" s="5"/>
      <c r="B285" t="s">
        <v>64</v>
      </c>
      <c r="C285" s="6">
        <f>1.39%*A382</f>
        <v>8.7431000000000002E-3</v>
      </c>
      <c r="D285" t="s">
        <v>269</v>
      </c>
    </row>
    <row r="286" spans="1:9">
      <c r="A286" s="5"/>
      <c r="B286" s="5" t="s">
        <v>11</v>
      </c>
      <c r="C286" s="44">
        <f>SUM(C283:C285)</f>
        <v>0.13773302725237829</v>
      </c>
    </row>
    <row r="287" spans="1:9">
      <c r="A287" s="5"/>
      <c r="C287" s="6"/>
    </row>
    <row r="288" spans="1:9">
      <c r="A288" s="5" t="s">
        <v>270</v>
      </c>
      <c r="C288" s="6"/>
    </row>
    <row r="289" spans="1:10">
      <c r="A289" s="5"/>
      <c r="B289" t="s">
        <v>30</v>
      </c>
      <c r="C289" s="10">
        <v>7.0000000000000007E-2</v>
      </c>
      <c r="D289" t="s">
        <v>8</v>
      </c>
    </row>
    <row r="290" spans="1:10">
      <c r="A290" s="5"/>
      <c r="B290" t="s">
        <v>271</v>
      </c>
      <c r="C290" s="10">
        <v>0.05</v>
      </c>
      <c r="D290" t="s">
        <v>8</v>
      </c>
    </row>
    <row r="291" spans="1:10">
      <c r="A291" s="5"/>
      <c r="B291" t="s">
        <v>272</v>
      </c>
      <c r="C291" s="10">
        <f>1.25/A380</f>
        <v>3.4974818130945717E-2</v>
      </c>
      <c r="D291" t="s">
        <v>259</v>
      </c>
    </row>
    <row r="292" spans="1:10">
      <c r="A292" s="5"/>
      <c r="B292" s="5" t="s">
        <v>11</v>
      </c>
      <c r="C292" s="8">
        <f>SUM(C289:C291)</f>
        <v>0.15497481813094571</v>
      </c>
    </row>
    <row r="293" spans="1:10">
      <c r="A293" s="5"/>
      <c r="C293" s="6"/>
    </row>
    <row r="294" spans="1:10">
      <c r="A294" s="5" t="s">
        <v>273</v>
      </c>
      <c r="C294" s="6"/>
    </row>
    <row r="295" spans="1:10">
      <c r="A295" s="5"/>
      <c r="B295" t="s">
        <v>30</v>
      </c>
      <c r="C295" s="14">
        <v>0.06</v>
      </c>
      <c r="D295" t="s">
        <v>8</v>
      </c>
    </row>
    <row r="296" spans="1:10">
      <c r="A296" s="5"/>
      <c r="B296" s="11" t="s">
        <v>90</v>
      </c>
      <c r="C296" s="10">
        <v>2.5000000000000001E-2</v>
      </c>
      <c r="D296" t="s">
        <v>274</v>
      </c>
    </row>
    <row r="297" spans="1:10">
      <c r="A297" s="5"/>
      <c r="B297" t="s">
        <v>275</v>
      </c>
      <c r="C297" s="10">
        <v>0.01</v>
      </c>
      <c r="D297" t="s">
        <v>276</v>
      </c>
    </row>
    <row r="298" spans="1:10">
      <c r="A298" s="5"/>
      <c r="B298" t="s">
        <v>277</v>
      </c>
      <c r="C298" s="10">
        <f>0.03/A380</f>
        <v>8.3939563514269717E-4</v>
      </c>
      <c r="D298" t="s">
        <v>38</v>
      </c>
    </row>
    <row r="299" spans="1:10">
      <c r="A299" s="5"/>
      <c r="B299" t="s">
        <v>17</v>
      </c>
      <c r="C299" s="10">
        <f>2.67%*A382</f>
        <v>1.6794299999999998E-2</v>
      </c>
      <c r="D299" t="s">
        <v>278</v>
      </c>
    </row>
    <row r="300" spans="1:10">
      <c r="A300" s="5"/>
      <c r="B300" s="11" t="s">
        <v>203</v>
      </c>
      <c r="C300" s="10">
        <f>0.62/A380</f>
        <v>1.7347509792949075E-2</v>
      </c>
      <c r="D300" t="s">
        <v>279</v>
      </c>
      <c r="J300" s="30"/>
    </row>
    <row r="301" spans="1:10">
      <c r="A301" s="5"/>
      <c r="B301" s="5" t="s">
        <v>11</v>
      </c>
      <c r="C301" s="8">
        <f>SUM(C295:C300)</f>
        <v>0.12998120542809175</v>
      </c>
      <c r="J301" s="17"/>
    </row>
    <row r="302" spans="1:10">
      <c r="A302" s="5"/>
      <c r="C302" s="6"/>
      <c r="J302" s="24"/>
    </row>
    <row r="303" spans="1:10">
      <c r="A303" s="5" t="s">
        <v>280</v>
      </c>
      <c r="C303" s="6"/>
    </row>
    <row r="304" spans="1:10">
      <c r="A304" s="5"/>
      <c r="B304" t="s">
        <v>30</v>
      </c>
      <c r="C304" s="10">
        <v>4.4999999999999998E-2</v>
      </c>
      <c r="D304" t="s">
        <v>281</v>
      </c>
      <c r="J304" s="24"/>
    </row>
    <row r="305" spans="1:10">
      <c r="A305" s="5"/>
      <c r="B305" t="s">
        <v>240</v>
      </c>
      <c r="C305" s="10">
        <v>0.04</v>
      </c>
      <c r="H305" s="38"/>
    </row>
    <row r="306" spans="1:10">
      <c r="A306" s="5"/>
      <c r="B306" t="s">
        <v>282</v>
      </c>
      <c r="C306" s="10">
        <f>2%</f>
        <v>0.02</v>
      </c>
      <c r="D306" t="s">
        <v>283</v>
      </c>
      <c r="J306" s="28"/>
    </row>
    <row r="307" spans="1:10">
      <c r="A307" s="5"/>
      <c r="B307" t="s">
        <v>284</v>
      </c>
      <c r="C307" s="10">
        <f>1.25/A380</f>
        <v>3.4974818130945717E-2</v>
      </c>
      <c r="D307" t="s">
        <v>259</v>
      </c>
    </row>
    <row r="308" spans="1:10">
      <c r="A308" s="5"/>
      <c r="B308" t="s">
        <v>77</v>
      </c>
      <c r="C308" s="10">
        <f>0.15/A380</f>
        <v>4.1969781757134859E-3</v>
      </c>
      <c r="D308" t="s">
        <v>285</v>
      </c>
      <c r="J308" s="33"/>
    </row>
    <row r="309" spans="1:10">
      <c r="A309" s="5"/>
      <c r="B309" t="s">
        <v>44</v>
      </c>
      <c r="C309" s="10">
        <f>0.15%*A382</f>
        <v>9.435E-4</v>
      </c>
      <c r="D309" t="s">
        <v>286</v>
      </c>
      <c r="J309" s="29"/>
    </row>
    <row r="310" spans="1:10">
      <c r="A310" s="5"/>
      <c r="B310" s="5" t="s">
        <v>11</v>
      </c>
      <c r="C310" s="8">
        <f>SUM(C304:C309)</f>
        <v>0.1451152963066592</v>
      </c>
      <c r="J310" s="31"/>
    </row>
    <row r="311" spans="1:10">
      <c r="A311" s="5"/>
      <c r="C311" s="6"/>
    </row>
    <row r="312" spans="1:10">
      <c r="A312" s="5" t="s">
        <v>287</v>
      </c>
      <c r="C312" s="6"/>
      <c r="J312" s="31"/>
    </row>
    <row r="313" spans="1:10">
      <c r="A313" s="5"/>
      <c r="B313" t="s">
        <v>30</v>
      </c>
      <c r="C313" s="10">
        <v>7.0000000000000007E-2</v>
      </c>
      <c r="D313" t="s">
        <v>8</v>
      </c>
    </row>
    <row r="314" spans="1:10">
      <c r="A314" s="5"/>
      <c r="B314" t="s">
        <v>90</v>
      </c>
      <c r="C314" s="10">
        <v>2.5000000000000001E-2</v>
      </c>
      <c r="D314" t="s">
        <v>288</v>
      </c>
    </row>
    <row r="315" spans="1:10">
      <c r="A315" s="5"/>
      <c r="B315" s="11" t="s">
        <v>289</v>
      </c>
      <c r="C315" s="10">
        <f>1.5/A380</f>
        <v>4.1969781757134859E-2</v>
      </c>
      <c r="D315" t="s">
        <v>290</v>
      </c>
    </row>
    <row r="316" spans="1:10">
      <c r="A316" s="5"/>
      <c r="B316" s="5" t="s">
        <v>11</v>
      </c>
      <c r="C316" s="8">
        <f>SUM(C313:C315)</f>
        <v>0.13696978175713487</v>
      </c>
    </row>
    <row r="317" spans="1:10">
      <c r="A317" s="5"/>
      <c r="C317" s="6"/>
    </row>
    <row r="318" spans="1:10">
      <c r="A318" s="5" t="s">
        <v>291</v>
      </c>
      <c r="C318" s="6"/>
    </row>
    <row r="319" spans="1:10">
      <c r="A319" s="5"/>
      <c r="B319" t="s">
        <v>30</v>
      </c>
      <c r="C319" s="10">
        <v>6.25E-2</v>
      </c>
      <c r="D319" t="s">
        <v>8</v>
      </c>
    </row>
    <row r="320" spans="1:10">
      <c r="A320" s="5"/>
      <c r="B320" s="11" t="s">
        <v>90</v>
      </c>
      <c r="C320" s="10">
        <v>0.02</v>
      </c>
      <c r="D320" t="s">
        <v>292</v>
      </c>
    </row>
    <row r="321" spans="1:5">
      <c r="A321" s="5"/>
      <c r="B321" t="s">
        <v>293</v>
      </c>
      <c r="C321" s="10">
        <f>0.5/A380</f>
        <v>1.3989927252378288E-2</v>
      </c>
      <c r="D321" t="s">
        <v>154</v>
      </c>
    </row>
    <row r="322" spans="1:5">
      <c r="A322" s="5"/>
      <c r="B322" t="s">
        <v>294</v>
      </c>
      <c r="C322" s="10">
        <f>0.033*$A$382</f>
        <v>2.0757000000000001E-2</v>
      </c>
      <c r="D322" t="s">
        <v>295</v>
      </c>
    </row>
    <row r="323" spans="1:5">
      <c r="A323" s="5"/>
      <c r="B323" t="s">
        <v>296</v>
      </c>
      <c r="C323" s="10">
        <f>0.06/A380</f>
        <v>1.6787912702853943E-3</v>
      </c>
      <c r="D323" t="s">
        <v>297</v>
      </c>
    </row>
    <row r="324" spans="1:5">
      <c r="A324" s="5"/>
      <c r="B324" s="5" t="s">
        <v>11</v>
      </c>
      <c r="C324" s="8">
        <f>SUM(C319:C323)</f>
        <v>0.11892571852266368</v>
      </c>
    </row>
    <row r="325" spans="1:5">
      <c r="A325" s="5"/>
      <c r="C325" s="6"/>
    </row>
    <row r="326" spans="1:5">
      <c r="A326" s="5" t="s">
        <v>298</v>
      </c>
      <c r="C326" s="6"/>
    </row>
    <row r="327" spans="1:5">
      <c r="A327" s="5"/>
      <c r="B327" t="s">
        <v>30</v>
      </c>
      <c r="C327" s="10">
        <v>4.8500000000000001E-2</v>
      </c>
      <c r="D327" t="s">
        <v>112</v>
      </c>
    </row>
    <row r="328" spans="1:5">
      <c r="A328" s="5"/>
      <c r="B328" t="s">
        <v>31</v>
      </c>
      <c r="C328" s="10">
        <f>(2.9%+2.4%)/2</f>
        <v>2.6499999999999999E-2</v>
      </c>
      <c r="D328" t="s">
        <v>299</v>
      </c>
    </row>
    <row r="329" spans="1:5">
      <c r="A329" s="5"/>
      <c r="B329" t="s">
        <v>300</v>
      </c>
      <c r="C329" s="10">
        <v>3.5000000000000003E-2</v>
      </c>
      <c r="D329" t="s">
        <v>301</v>
      </c>
    </row>
    <row r="330" spans="1:5">
      <c r="A330" s="5"/>
      <c r="B330" t="s">
        <v>302</v>
      </c>
      <c r="C330" s="10">
        <f>0.96/A380</f>
        <v>2.6860660324566309E-2</v>
      </c>
      <c r="D330" t="s">
        <v>303</v>
      </c>
    </row>
    <row r="331" spans="1:5">
      <c r="A331" s="5"/>
      <c r="B331" t="s">
        <v>304</v>
      </c>
      <c r="C331" s="10">
        <f>0.52/A380</f>
        <v>1.4549524342473419E-2</v>
      </c>
      <c r="D331" t="s">
        <v>305</v>
      </c>
    </row>
    <row r="332" spans="1:5">
      <c r="A332" s="5"/>
      <c r="B332" t="s">
        <v>116</v>
      </c>
      <c r="C332" s="10">
        <f>0.36/A380</f>
        <v>1.0072747621712366E-2</v>
      </c>
      <c r="D332" t="s">
        <v>306</v>
      </c>
    </row>
    <row r="333" spans="1:5">
      <c r="A333" s="5"/>
      <c r="B333" s="5" t="s">
        <v>11</v>
      </c>
      <c r="C333" s="8">
        <f>SUM(C327:C332)</f>
        <v>0.1614829322887521</v>
      </c>
    </row>
    <row r="334" spans="1:5">
      <c r="A334" s="5"/>
      <c r="C334" s="6"/>
    </row>
    <row r="335" spans="1:5">
      <c r="A335" s="5" t="s">
        <v>307</v>
      </c>
      <c r="C335" s="10"/>
      <c r="E335" s="23"/>
    </row>
    <row r="336" spans="1:5">
      <c r="A336" s="5"/>
      <c r="B336" t="s">
        <v>30</v>
      </c>
      <c r="C336" s="10">
        <v>0.06</v>
      </c>
      <c r="D336" t="s">
        <v>8</v>
      </c>
    </row>
    <row r="337" spans="1:9">
      <c r="A337" s="5"/>
      <c r="B337" t="s">
        <v>90</v>
      </c>
      <c r="C337" s="10">
        <v>5.0000000000000001E-3</v>
      </c>
      <c r="D337" t="s">
        <v>308</v>
      </c>
    </row>
    <row r="338" spans="1:9">
      <c r="A338" s="5"/>
      <c r="B338" t="s">
        <v>309</v>
      </c>
      <c r="C338" s="10">
        <v>2.4E-2</v>
      </c>
      <c r="D338" s="45" t="s">
        <v>310</v>
      </c>
    </row>
    <row r="339" spans="1:9">
      <c r="A339" s="5"/>
      <c r="B339" s="5" t="s">
        <v>11</v>
      </c>
      <c r="C339" s="8">
        <f>SUM(C336:C338)</f>
        <v>8.8999999999999996E-2</v>
      </c>
    </row>
    <row r="340" spans="1:9">
      <c r="A340" s="5"/>
      <c r="C340" s="6"/>
    </row>
    <row r="341" spans="1:9">
      <c r="A341" s="5" t="s">
        <v>311</v>
      </c>
      <c r="C341" s="10"/>
    </row>
    <row r="342" spans="1:9">
      <c r="A342" s="5"/>
      <c r="B342" t="s">
        <v>312</v>
      </c>
      <c r="C342" s="10">
        <v>0.05</v>
      </c>
    </row>
    <row r="343" spans="1:9">
      <c r="A343" s="5"/>
      <c r="B343" t="s">
        <v>35</v>
      </c>
      <c r="C343" s="10">
        <f>0.82/A380</f>
        <v>2.2943480693900391E-2</v>
      </c>
      <c r="D343" t="s">
        <v>313</v>
      </c>
      <c r="I343" s="46"/>
    </row>
    <row r="344" spans="1:9">
      <c r="A344" s="5"/>
      <c r="B344" t="s">
        <v>314</v>
      </c>
      <c r="C344" s="10">
        <f>0.12/A380</f>
        <v>3.3575825405707887E-3</v>
      </c>
      <c r="D344" t="s">
        <v>315</v>
      </c>
    </row>
    <row r="345" spans="1:9">
      <c r="A345" s="5"/>
      <c r="B345" s="5" t="s">
        <v>11</v>
      </c>
      <c r="C345" s="8">
        <f>SUM(C342:C344)</f>
        <v>7.6301063234471181E-2</v>
      </c>
    </row>
    <row r="346" spans="1:9">
      <c r="A346" s="5"/>
      <c r="C346" s="6"/>
    </row>
    <row r="347" spans="1:9">
      <c r="A347" s="5" t="s">
        <v>316</v>
      </c>
      <c r="C347" s="6"/>
    </row>
    <row r="348" spans="1:9">
      <c r="A348" s="5"/>
      <c r="B348" t="s">
        <v>30</v>
      </c>
      <c r="C348" s="10">
        <v>6.5000000000000002E-2</v>
      </c>
      <c r="D348" t="s">
        <v>8</v>
      </c>
    </row>
    <row r="349" spans="1:9">
      <c r="A349" s="5"/>
      <c r="B349" t="s">
        <v>31</v>
      </c>
      <c r="C349" s="10">
        <f>(2.9%+3.75%)/2</f>
        <v>3.3250000000000002E-2</v>
      </c>
      <c r="D349" t="s">
        <v>317</v>
      </c>
    </row>
    <row r="350" spans="1:9">
      <c r="A350" s="5"/>
      <c r="B350" s="11" t="s">
        <v>318</v>
      </c>
      <c r="C350" s="10">
        <f>(6%+9%)/2</f>
        <v>7.4999999999999997E-2</v>
      </c>
      <c r="D350" t="s">
        <v>319</v>
      </c>
    </row>
    <row r="351" spans="1:9">
      <c r="A351" s="5"/>
      <c r="B351" s="11" t="s">
        <v>320</v>
      </c>
      <c r="C351" s="10">
        <f>0.25/A380</f>
        <v>6.9949636261891438E-3</v>
      </c>
      <c r="D351" t="s">
        <v>162</v>
      </c>
    </row>
    <row r="352" spans="1:9">
      <c r="A352" s="5"/>
      <c r="B352" s="11" t="s">
        <v>321</v>
      </c>
      <c r="C352" s="10">
        <f>0.7/A380</f>
        <v>1.95858981533296E-2</v>
      </c>
      <c r="D352" t="s">
        <v>322</v>
      </c>
    </row>
    <row r="353" spans="1:10">
      <c r="A353" s="5"/>
      <c r="B353" s="11" t="s">
        <v>323</v>
      </c>
      <c r="C353" s="10">
        <f>0.24/A380</f>
        <v>6.7151650811415773E-3</v>
      </c>
      <c r="D353" t="s">
        <v>324</v>
      </c>
      <c r="E353" s="13"/>
    </row>
    <row r="354" spans="1:10">
      <c r="A354" s="5"/>
      <c r="B354" s="5" t="s">
        <v>11</v>
      </c>
      <c r="C354" s="8">
        <f>SUM(C348:C353)</f>
        <v>0.20654602686066034</v>
      </c>
    </row>
    <row r="355" spans="1:10">
      <c r="A355" s="5"/>
      <c r="C355" s="6"/>
    </row>
    <row r="356" spans="1:10">
      <c r="A356" s="5" t="s">
        <v>325</v>
      </c>
      <c r="C356" s="6"/>
    </row>
    <row r="357" spans="1:10">
      <c r="A357" s="5"/>
      <c r="B357" t="s">
        <v>30</v>
      </c>
      <c r="C357" s="10">
        <v>0</v>
      </c>
      <c r="D357" t="s">
        <v>326</v>
      </c>
    </row>
    <row r="358" spans="1:10">
      <c r="A358" s="5"/>
      <c r="B358" t="s">
        <v>99</v>
      </c>
      <c r="C358" s="10">
        <f>3.47/$A$380</f>
        <v>9.7090095131505322E-2</v>
      </c>
      <c r="D358" t="s">
        <v>327</v>
      </c>
    </row>
    <row r="359" spans="1:10">
      <c r="A359" s="5"/>
      <c r="B359" t="s">
        <v>328</v>
      </c>
      <c r="C359" s="10">
        <f>0.29/A380</f>
        <v>8.1141578063794063E-3</v>
      </c>
      <c r="D359" t="s">
        <v>329</v>
      </c>
    </row>
    <row r="360" spans="1:10">
      <c r="A360" s="5"/>
      <c r="B360" t="s">
        <v>330</v>
      </c>
      <c r="C360" s="10">
        <f>0.08/A380</f>
        <v>2.2383883603805258E-3</v>
      </c>
      <c r="D360" t="s">
        <v>331</v>
      </c>
    </row>
    <row r="361" spans="1:10">
      <c r="A361" s="5"/>
      <c r="B361" s="5" t="s">
        <v>11</v>
      </c>
      <c r="C361" s="8">
        <f>SUM(C357:C360)</f>
        <v>0.10744264129826525</v>
      </c>
      <c r="E361" s="13"/>
    </row>
    <row r="362" spans="1:10">
      <c r="A362" s="5"/>
      <c r="C362" s="6"/>
      <c r="J362" s="30"/>
    </row>
    <row r="363" spans="1:10">
      <c r="A363" s="5"/>
      <c r="C363" s="6"/>
      <c r="J363" s="24"/>
    </row>
    <row r="364" spans="1:10">
      <c r="A364" s="5" t="s">
        <v>332</v>
      </c>
      <c r="C364" s="6"/>
    </row>
    <row r="365" spans="1:10">
      <c r="A365" s="5"/>
      <c r="B365" t="s">
        <v>30</v>
      </c>
      <c r="C365" s="10">
        <v>0.05</v>
      </c>
      <c r="D365" t="s">
        <v>333</v>
      </c>
    </row>
    <row r="366" spans="1:10">
      <c r="A366" s="5"/>
      <c r="B366" t="s">
        <v>90</v>
      </c>
      <c r="C366" s="10">
        <v>5.0000000000000001E-3</v>
      </c>
      <c r="D366" t="s">
        <v>334</v>
      </c>
    </row>
    <row r="367" spans="1:10">
      <c r="A367" s="5"/>
      <c r="B367" t="s">
        <v>335</v>
      </c>
      <c r="C367" s="10">
        <f>0.75/A380</f>
        <v>2.098489087856743E-2</v>
      </c>
      <c r="D367" t="s">
        <v>336</v>
      </c>
    </row>
    <row r="368" spans="1:10">
      <c r="A368" s="5"/>
      <c r="B368" t="s">
        <v>116</v>
      </c>
      <c r="C368" s="10">
        <f>0.44874%*A382</f>
        <v>2.8225745999999998E-3</v>
      </c>
      <c r="D368" t="s">
        <v>337</v>
      </c>
    </row>
    <row r="369" spans="1:13">
      <c r="A369" s="5"/>
      <c r="B369" s="5" t="s">
        <v>11</v>
      </c>
      <c r="C369" s="8">
        <f>SUM(C365:C368)</f>
        <v>7.8807465478567429E-2</v>
      </c>
      <c r="K369" s="36"/>
    </row>
    <row r="370" spans="1:13">
      <c r="A370" s="5"/>
      <c r="C370" s="6"/>
      <c r="K370" s="36"/>
    </row>
    <row r="371" spans="1:13">
      <c r="A371" s="5" t="s">
        <v>338</v>
      </c>
      <c r="C371" s="6"/>
      <c r="K371" s="36"/>
    </row>
    <row r="372" spans="1:13">
      <c r="A372" s="5"/>
      <c r="B372" t="s">
        <v>30</v>
      </c>
      <c r="C372" s="10">
        <v>0.04</v>
      </c>
      <c r="D372" t="s">
        <v>112</v>
      </c>
      <c r="K372" s="18"/>
    </row>
    <row r="373" spans="1:13">
      <c r="A373" s="5"/>
      <c r="B373" t="s">
        <v>90</v>
      </c>
      <c r="C373" s="10">
        <v>1.4999999999999999E-2</v>
      </c>
      <c r="D373" t="s">
        <v>339</v>
      </c>
      <c r="K373" s="36"/>
      <c r="M373" s="22"/>
    </row>
    <row r="374" spans="1:13">
      <c r="A374" s="5"/>
      <c r="B374" t="s">
        <v>19</v>
      </c>
      <c r="C374" s="10">
        <f>0.04/A380</f>
        <v>1.1191941801902629E-3</v>
      </c>
      <c r="D374" t="s">
        <v>340</v>
      </c>
      <c r="K374" s="36"/>
    </row>
    <row r="375" spans="1:13">
      <c r="A375" s="5"/>
      <c r="B375" t="s">
        <v>64</v>
      </c>
      <c r="C375" s="10">
        <f>2.7%*A382</f>
        <v>1.6983000000000002E-2</v>
      </c>
      <c r="D375" t="s">
        <v>341</v>
      </c>
    </row>
    <row r="376" spans="1:13">
      <c r="A376" s="5"/>
      <c r="B376" t="s">
        <v>203</v>
      </c>
      <c r="C376" s="10">
        <f>0.75/A380</f>
        <v>2.098489087856743E-2</v>
      </c>
      <c r="D376" t="s">
        <v>342</v>
      </c>
    </row>
    <row r="377" spans="1:13">
      <c r="A377" s="5"/>
      <c r="B377" s="5" t="s">
        <v>11</v>
      </c>
      <c r="C377" s="8">
        <f>SUM(C372:C376)</f>
        <v>9.4087085058757694E-2</v>
      </c>
      <c r="D377" s="5"/>
    </row>
    <row r="378" spans="1:13">
      <c r="A378" s="5"/>
      <c r="C378" s="6"/>
    </row>
    <row r="379" spans="1:13">
      <c r="A379" s="5" t="s">
        <v>343</v>
      </c>
      <c r="C379" s="6"/>
    </row>
    <row r="380" spans="1:13">
      <c r="A380" s="47">
        <v>35.74</v>
      </c>
      <c r="C380" s="6"/>
    </row>
    <row r="381" spans="1:13">
      <c r="A381" t="s">
        <v>344</v>
      </c>
      <c r="C381" s="6"/>
    </row>
    <row r="382" spans="1:13">
      <c r="A382" s="48">
        <v>0.629</v>
      </c>
      <c r="C382" s="6"/>
    </row>
    <row r="383" spans="1:13">
      <c r="C383" s="39"/>
    </row>
    <row r="384" spans="1:13">
      <c r="A384" s="5" t="s">
        <v>345</v>
      </c>
      <c r="B384" t="s">
        <v>346</v>
      </c>
      <c r="C384" s="39"/>
    </row>
    <row r="385" spans="1:8">
      <c r="A385" s="5"/>
      <c r="B385" t="s">
        <v>347</v>
      </c>
      <c r="C385" s="39"/>
    </row>
    <row r="386" spans="1:8">
      <c r="C386" s="39"/>
    </row>
    <row r="387" spans="1:8">
      <c r="B387" s="49" t="s">
        <v>348</v>
      </c>
      <c r="C387" s="39"/>
    </row>
    <row r="394" spans="1:8">
      <c r="H394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B1</vt:lpstr>
      <vt:lpstr>APPENDIX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Mackey</dc:creator>
  <cp:lastModifiedBy>Kevin Kaufman</cp:lastModifiedBy>
  <cp:lastPrinted>2022-09-29T18:01:59Z</cp:lastPrinted>
  <dcterms:created xsi:type="dcterms:W3CDTF">2022-09-09T15:55:21Z</dcterms:created>
  <dcterms:modified xsi:type="dcterms:W3CDTF">2022-12-19T19:39:50Z</dcterms:modified>
</cp:coreProperties>
</file>