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Users\csp\Dropbox (Tax Foundation)\Fiscal Facts\FF490\"/>
    </mc:Choice>
  </mc:AlternateContent>
  <bookViews>
    <workbookView xWindow="-15" yWindow="-15" windowWidth="19215" windowHeight="11490" activeTab="5"/>
  </bookViews>
  <sheets>
    <sheet name="APPENDIX A" sheetId="1" r:id="rId1"/>
    <sheet name="TABLE 1" sheetId="6" r:id="rId2"/>
    <sheet name="TABLE 2" sheetId="5" r:id="rId3"/>
    <sheet name="Table 3" sheetId="16" r:id="rId4"/>
    <sheet name="TABLE 4" sheetId="9" r:id="rId5"/>
    <sheet name="TABLE 5" sheetId="10" r:id="rId6"/>
    <sheet name="TABLE 6" sheetId="11" r:id="rId7"/>
    <sheet name="ARPU v tax" sheetId="17" r:id="rId8"/>
    <sheet name="BIG CITY" sheetId="7" r:id="rId9"/>
    <sheet name="Stats" sheetId="3" r:id="rId10"/>
    <sheet name="PUerto Rico" sheetId="12" r:id="rId11"/>
    <sheet name="PG County" sheetId="13" r:id="rId12"/>
    <sheet name="PG Detail" sheetId="14" r:id="rId13"/>
    <sheet name="Summary changes" sheetId="15" r:id="rId14"/>
    <sheet name="Sheet3" sheetId="19" r:id="rId15"/>
    <sheet name="Sheet2" sheetId="18" r:id="rId16"/>
  </sheets>
  <externalReferences>
    <externalReference r:id="rId17"/>
    <externalReference r:id="rId18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7" l="1"/>
  <c r="C15" i="17"/>
  <c r="E6" i="17" l="1"/>
  <c r="E11" i="17"/>
  <c r="E13" i="17"/>
  <c r="E4" i="17"/>
  <c r="D5" i="17"/>
  <c r="E5" i="17" s="1"/>
  <c r="D6" i="17"/>
  <c r="D7" i="17"/>
  <c r="E7" i="17" s="1"/>
  <c r="D8" i="17"/>
  <c r="E8" i="17" s="1"/>
  <c r="D9" i="17"/>
  <c r="E9" i="17" s="1"/>
  <c r="D10" i="17"/>
  <c r="E10" i="17" s="1"/>
  <c r="D11" i="17"/>
  <c r="D12" i="17"/>
  <c r="E12" i="17" s="1"/>
  <c r="D13" i="17"/>
  <c r="D4" i="17"/>
  <c r="D15" i="17" l="1"/>
  <c r="E9" i="16"/>
  <c r="E10" i="16"/>
  <c r="E11" i="16"/>
  <c r="E12" i="16"/>
  <c r="E14" i="16"/>
  <c r="E15" i="16"/>
  <c r="E16" i="16"/>
  <c r="E17" i="16"/>
  <c r="E18" i="16"/>
  <c r="E19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8" i="16"/>
  <c r="C80" i="1"/>
  <c r="C353" i="1" l="1"/>
  <c r="C18" i="11" l="1"/>
  <c r="C11" i="11"/>
  <c r="C10" i="11"/>
  <c r="C269" i="1" l="1"/>
  <c r="C129" i="1" l="1"/>
  <c r="C9" i="11" l="1"/>
  <c r="C17" i="11"/>
  <c r="C16" i="11"/>
  <c r="C15" i="11"/>
  <c r="C14" i="11"/>
  <c r="C12" i="11"/>
  <c r="C13" i="11"/>
  <c r="C45" i="1"/>
  <c r="C360" i="1"/>
  <c r="C359" i="1"/>
  <c r="C322" i="1" l="1"/>
  <c r="C320" i="1"/>
  <c r="C319" i="1"/>
  <c r="C310" i="1"/>
  <c r="E11" i="3" l="1"/>
  <c r="K11" i="3" s="1"/>
  <c r="E12" i="3"/>
  <c r="K12" i="3" s="1"/>
  <c r="E13" i="3"/>
  <c r="K13" i="3" s="1"/>
  <c r="E19" i="3"/>
  <c r="K19" i="3" s="1"/>
  <c r="E20" i="3"/>
  <c r="K20" i="3" s="1"/>
  <c r="E21" i="3"/>
  <c r="E27" i="3"/>
  <c r="K27" i="3" s="1"/>
  <c r="E28" i="3"/>
  <c r="K28" i="3" s="1"/>
  <c r="E29" i="3"/>
  <c r="K29" i="3" s="1"/>
  <c r="E35" i="3"/>
  <c r="K35" i="3" s="1"/>
  <c r="E36" i="3"/>
  <c r="K36" i="3" s="1"/>
  <c r="E37" i="3"/>
  <c r="K37" i="3" s="1"/>
  <c r="E43" i="3"/>
  <c r="K43" i="3" s="1"/>
  <c r="E44" i="3"/>
  <c r="K44" i="3" s="1"/>
  <c r="E45" i="3"/>
  <c r="K45" i="3" s="1"/>
  <c r="E51" i="3"/>
  <c r="K51" i="3" s="1"/>
  <c r="E52" i="3"/>
  <c r="E53" i="3"/>
  <c r="K53" i="3" s="1"/>
  <c r="E5" i="3"/>
  <c r="K5" i="3" s="1"/>
  <c r="D58" i="3"/>
  <c r="E6" i="3" s="1"/>
  <c r="K6" i="3" s="1"/>
  <c r="C288" i="1"/>
  <c r="C261" i="1"/>
  <c r="C255" i="1"/>
  <c r="E50" i="3" l="1"/>
  <c r="K50" i="3" s="1"/>
  <c r="E42" i="3"/>
  <c r="K42" i="3" s="1"/>
  <c r="E34" i="3"/>
  <c r="K34" i="3" s="1"/>
  <c r="E26" i="3"/>
  <c r="K26" i="3" s="1"/>
  <c r="E18" i="3"/>
  <c r="K18" i="3" s="1"/>
  <c r="E10" i="3"/>
  <c r="K10" i="3" s="1"/>
  <c r="E9" i="3"/>
  <c r="K9" i="3" s="1"/>
  <c r="E49" i="3"/>
  <c r="K49" i="3" s="1"/>
  <c r="E41" i="3"/>
  <c r="K41" i="3" s="1"/>
  <c r="E33" i="3"/>
  <c r="K33" i="3" s="1"/>
  <c r="E25" i="3"/>
  <c r="K25" i="3" s="1"/>
  <c r="E17" i="3"/>
  <c r="K17" i="3" s="1"/>
  <c r="E56" i="3"/>
  <c r="K56" i="3" s="1"/>
  <c r="E48" i="3"/>
  <c r="K48" i="3" s="1"/>
  <c r="E40" i="3"/>
  <c r="K40" i="3" s="1"/>
  <c r="E32" i="3"/>
  <c r="K32" i="3" s="1"/>
  <c r="E24" i="3"/>
  <c r="K24" i="3" s="1"/>
  <c r="E16" i="3"/>
  <c r="K16" i="3" s="1"/>
  <c r="E8" i="3"/>
  <c r="K8" i="3" s="1"/>
  <c r="E55" i="3"/>
  <c r="K55" i="3" s="1"/>
  <c r="E47" i="3"/>
  <c r="K47" i="3" s="1"/>
  <c r="E39" i="3"/>
  <c r="K39" i="3" s="1"/>
  <c r="E31" i="3"/>
  <c r="K31" i="3" s="1"/>
  <c r="E23" i="3"/>
  <c r="K23" i="3" s="1"/>
  <c r="E15" i="3"/>
  <c r="K15" i="3" s="1"/>
  <c r="E7" i="3"/>
  <c r="K7" i="3" s="1"/>
  <c r="E54" i="3"/>
  <c r="K54" i="3" s="1"/>
  <c r="E46" i="3"/>
  <c r="K46" i="3" s="1"/>
  <c r="E38" i="3"/>
  <c r="K38" i="3" s="1"/>
  <c r="E30" i="3"/>
  <c r="K30" i="3" s="1"/>
  <c r="E22" i="3"/>
  <c r="K22" i="3" s="1"/>
  <c r="E14" i="3"/>
  <c r="K14" i="3" s="1"/>
  <c r="C248" i="1"/>
  <c r="C240" i="1"/>
  <c r="C233" i="1" l="1"/>
  <c r="L8" i="6"/>
  <c r="C173" i="1"/>
  <c r="C156" i="1"/>
  <c r="D10" i="5" l="1"/>
  <c r="D18" i="5"/>
  <c r="D27" i="5"/>
  <c r="D34" i="5"/>
  <c r="D42" i="5"/>
  <c r="D50" i="5"/>
  <c r="D58" i="5"/>
  <c r="D12" i="5"/>
  <c r="D36" i="5"/>
  <c r="D53" i="5"/>
  <c r="D14" i="5"/>
  <c r="D29" i="5"/>
  <c r="D38" i="5"/>
  <c r="D48" i="5"/>
  <c r="D17" i="5"/>
  <c r="D51" i="5"/>
  <c r="D11" i="5"/>
  <c r="D19" i="5"/>
  <c r="D26" i="5"/>
  <c r="D35" i="5"/>
  <c r="D43" i="5"/>
  <c r="D52" i="5"/>
  <c r="D59" i="5"/>
  <c r="D20" i="5"/>
  <c r="D28" i="5"/>
  <c r="D44" i="5"/>
  <c r="D8" i="5"/>
  <c r="D21" i="5"/>
  <c r="D45" i="5"/>
  <c r="D9" i="5"/>
  <c r="D33" i="5"/>
  <c r="D57" i="5"/>
  <c r="D13" i="5"/>
  <c r="D22" i="5"/>
  <c r="D30" i="5"/>
  <c r="D40" i="5"/>
  <c r="D46" i="5"/>
  <c r="D55" i="5"/>
  <c r="D15" i="5"/>
  <c r="D23" i="5"/>
  <c r="D31" i="5"/>
  <c r="D37" i="5"/>
  <c r="D47" i="5"/>
  <c r="D54" i="5"/>
  <c r="D16" i="5"/>
  <c r="D25" i="5"/>
  <c r="D32" i="5"/>
  <c r="D39" i="5"/>
  <c r="D49" i="5"/>
  <c r="D56" i="5"/>
  <c r="D24" i="5"/>
  <c r="D41" i="5"/>
  <c r="C163" i="1"/>
  <c r="C155" i="1"/>
  <c r="C113" i="1"/>
  <c r="C99" i="1"/>
  <c r="C273" i="1"/>
  <c r="C274" i="1"/>
  <c r="C86" i="1"/>
  <c r="C275" i="1" l="1"/>
  <c r="B44" i="3"/>
  <c r="C18" i="5"/>
  <c r="C85" i="1"/>
  <c r="C44" i="3" l="1"/>
  <c r="C39" i="1"/>
  <c r="C38" i="1"/>
  <c r="C37" i="1"/>
  <c r="C36" i="1"/>
  <c r="C27" i="1"/>
  <c r="C14" i="1"/>
  <c r="C52" i="1" l="1"/>
  <c r="C92" i="1" l="1"/>
  <c r="C8" i="1"/>
  <c r="C149" i="1"/>
  <c r="C98" i="1" l="1"/>
  <c r="C303" i="1"/>
  <c r="J21" i="3" l="1"/>
  <c r="K21" i="3" s="1"/>
  <c r="K58" i="3" s="1"/>
  <c r="L11" i="6" s="1"/>
  <c r="J52" i="3"/>
  <c r="K52" i="3" s="1"/>
  <c r="C223" i="1"/>
  <c r="C68" i="1"/>
  <c r="C66" i="1"/>
  <c r="C76" i="14" l="1"/>
  <c r="C78" i="14" s="1"/>
  <c r="C69" i="14"/>
  <c r="C71" i="14" s="1"/>
  <c r="C61" i="14"/>
  <c r="C60" i="14"/>
  <c r="C63" i="14" s="1"/>
  <c r="C55" i="14"/>
  <c r="C53" i="14"/>
  <c r="C52" i="14"/>
  <c r="C51" i="14"/>
  <c r="C11" i="13"/>
  <c r="C45" i="14"/>
  <c r="C44" i="14"/>
  <c r="C43" i="14"/>
  <c r="C47" i="14" s="1"/>
  <c r="C33" i="14"/>
  <c r="C35" i="14" s="1"/>
  <c r="C26" i="14"/>
  <c r="C28" i="14" s="1"/>
  <c r="C25" i="14"/>
  <c r="C16" i="14"/>
  <c r="C15" i="14"/>
  <c r="C18" i="14" s="1"/>
  <c r="C8" i="14"/>
  <c r="C10" i="14" s="1"/>
  <c r="G48" i="7"/>
  <c r="C54" i="7"/>
  <c r="E54" i="7"/>
  <c r="C26" i="7"/>
  <c r="C32" i="7"/>
  <c r="B33" i="7" l="1"/>
  <c r="B16" i="7"/>
  <c r="B34" i="7" s="1"/>
  <c r="B15" i="7"/>
  <c r="B29" i="7" s="1"/>
  <c r="B14" i="7"/>
  <c r="B31" i="7" s="1"/>
  <c r="B13" i="7"/>
  <c r="B12" i="7"/>
  <c r="B36" i="7" s="1"/>
  <c r="B11" i="7"/>
  <c r="B35" i="7" s="1"/>
  <c r="B10" i="7"/>
  <c r="B30" i="7" s="1"/>
  <c r="B9" i="7"/>
  <c r="B25" i="7" s="1"/>
  <c r="B8" i="7"/>
  <c r="B27" i="7" s="1"/>
  <c r="B7" i="7"/>
  <c r="B28" i="7" s="1"/>
  <c r="B9" i="12" l="1"/>
  <c r="B24" i="12" s="1"/>
  <c r="C24" i="12" s="1"/>
  <c r="B8" i="12"/>
  <c r="B15" i="12" s="1"/>
  <c r="E18" i="5"/>
  <c r="B10" i="12" l="1"/>
  <c r="B23" i="12" s="1"/>
  <c r="C23" i="12" s="1"/>
  <c r="B16" i="12"/>
  <c r="B28" i="12" s="1"/>
  <c r="B10" i="11"/>
  <c r="B11" i="11"/>
  <c r="B12" i="11"/>
  <c r="B13" i="11"/>
  <c r="B14" i="11"/>
  <c r="B15" i="11"/>
  <c r="B16" i="11"/>
  <c r="B17" i="11"/>
  <c r="B18" i="11"/>
  <c r="B9" i="11"/>
  <c r="C46" i="7"/>
  <c r="C47" i="7"/>
  <c r="C50" i="7"/>
  <c r="B53" i="7"/>
  <c r="C53" i="7" s="1"/>
  <c r="B51" i="7"/>
  <c r="C51" i="7" s="1"/>
  <c r="B50" i="7"/>
  <c r="B49" i="7"/>
  <c r="C49" i="7" s="1"/>
  <c r="B48" i="7"/>
  <c r="C48" i="7" s="1"/>
  <c r="B47" i="7"/>
  <c r="B46" i="7"/>
  <c r="B45" i="7"/>
  <c r="C45" i="7" s="1"/>
  <c r="B44" i="7"/>
  <c r="C44" i="7" s="1"/>
  <c r="B43" i="7"/>
  <c r="C43" i="7" s="1"/>
  <c r="C28" i="12" l="1"/>
  <c r="C32" i="12" s="1"/>
  <c r="B32" i="12"/>
  <c r="B17" i="12"/>
  <c r="B27" i="12" s="1"/>
  <c r="C27" i="12" l="1"/>
  <c r="C31" i="12" s="1"/>
  <c r="B31" i="12"/>
  <c r="C16" i="7"/>
  <c r="C34" i="7" s="1"/>
  <c r="F16" i="7"/>
  <c r="F15" i="7"/>
  <c r="C15" i="7"/>
  <c r="C29" i="7" s="1"/>
  <c r="F14" i="7"/>
  <c r="C14" i="7"/>
  <c r="C31" i="7" s="1"/>
  <c r="F13" i="7"/>
  <c r="C13" i="7"/>
  <c r="C33" i="7" s="1"/>
  <c r="F10" i="7"/>
  <c r="C10" i="7"/>
  <c r="C30" i="7" s="1"/>
  <c r="F9" i="7"/>
  <c r="C9" i="7"/>
  <c r="C25" i="7" s="1"/>
  <c r="C8" i="7"/>
  <c r="F8" i="7"/>
  <c r="F11" i="7" s="1"/>
  <c r="C11" i="7" l="1"/>
  <c r="C35" i="7" s="1"/>
  <c r="C27" i="7"/>
  <c r="F7" i="7"/>
  <c r="C12" i="7"/>
  <c r="C36" i="7" s="1"/>
  <c r="C7" i="7"/>
  <c r="C28" i="7" s="1"/>
  <c r="F12" i="7"/>
  <c r="K13" i="6"/>
  <c r="I13" i="6"/>
  <c r="H13" i="6"/>
  <c r="G13" i="6"/>
  <c r="F13" i="6"/>
  <c r="D13" i="6"/>
  <c r="C13" i="6"/>
  <c r="B13" i="6"/>
  <c r="J11" i="6"/>
  <c r="E11" i="6"/>
  <c r="E13" i="6" s="1"/>
  <c r="K9" i="6"/>
  <c r="I9" i="6"/>
  <c r="H9" i="6"/>
  <c r="F9" i="6"/>
  <c r="E9" i="6"/>
  <c r="D9" i="6"/>
  <c r="C9" i="6"/>
  <c r="B9" i="6"/>
  <c r="G8" i="6"/>
  <c r="G9" i="6" s="1"/>
  <c r="J7" i="6"/>
  <c r="J9" i="6" s="1"/>
  <c r="J13" i="6" l="1"/>
  <c r="C194" i="1"/>
  <c r="C29" i="1" l="1"/>
  <c r="L58" i="3" l="1"/>
  <c r="C311" i="1" l="1"/>
  <c r="C196" i="1" l="1"/>
  <c r="C162" i="1" l="1"/>
  <c r="C144" i="1"/>
  <c r="C40" i="1" l="1"/>
  <c r="C34" i="1"/>
  <c r="D61" i="5" l="1"/>
  <c r="D63" i="5" s="1"/>
  <c r="U58" i="3" l="1"/>
  <c r="G58" i="3"/>
  <c r="H44" i="3" s="1"/>
  <c r="F44" i="3" l="1"/>
  <c r="H6" i="3"/>
  <c r="H10" i="3"/>
  <c r="H14" i="3"/>
  <c r="H18" i="3"/>
  <c r="H22" i="3"/>
  <c r="H26" i="3"/>
  <c r="H30" i="3"/>
  <c r="H34" i="3"/>
  <c r="H38" i="3"/>
  <c r="H42" i="3"/>
  <c r="H47" i="3"/>
  <c r="H51" i="3"/>
  <c r="H55" i="3"/>
  <c r="H8" i="3"/>
  <c r="H16" i="3"/>
  <c r="H24" i="3"/>
  <c r="H32" i="3"/>
  <c r="H40" i="3"/>
  <c r="H49" i="3"/>
  <c r="H5" i="3"/>
  <c r="H13" i="3"/>
  <c r="H21" i="3"/>
  <c r="H29" i="3"/>
  <c r="H37" i="3"/>
  <c r="H46" i="3"/>
  <c r="H54" i="3"/>
  <c r="H7" i="3"/>
  <c r="H11" i="3"/>
  <c r="H15" i="3"/>
  <c r="H19" i="3"/>
  <c r="H23" i="3"/>
  <c r="H27" i="3"/>
  <c r="H31" i="3"/>
  <c r="H35" i="3"/>
  <c r="H39" i="3"/>
  <c r="H43" i="3"/>
  <c r="H48" i="3"/>
  <c r="H52" i="3"/>
  <c r="H56" i="3"/>
  <c r="H12" i="3"/>
  <c r="H20" i="3"/>
  <c r="H28" i="3"/>
  <c r="H36" i="3"/>
  <c r="H45" i="3"/>
  <c r="H53" i="3"/>
  <c r="H9" i="3"/>
  <c r="H17" i="3"/>
  <c r="H25" i="3"/>
  <c r="H33" i="3"/>
  <c r="H41" i="3"/>
  <c r="H50" i="3"/>
  <c r="C338" i="1"/>
  <c r="C341" i="1"/>
  <c r="O41" i="3" l="1"/>
  <c r="M41" i="3"/>
  <c r="Q41" i="3"/>
  <c r="M28" i="3"/>
  <c r="O28" i="3"/>
  <c r="Q28" i="3"/>
  <c r="O35" i="3"/>
  <c r="M35" i="3"/>
  <c r="Q35" i="3"/>
  <c r="O54" i="3"/>
  <c r="M54" i="3"/>
  <c r="Q54" i="3"/>
  <c r="M40" i="3"/>
  <c r="O40" i="3"/>
  <c r="Q40" i="3"/>
  <c r="M42" i="3"/>
  <c r="O42" i="3"/>
  <c r="Q42" i="3"/>
  <c r="M10" i="3"/>
  <c r="O10" i="3"/>
  <c r="Q10" i="3"/>
  <c r="M53" i="3"/>
  <c r="O53" i="3"/>
  <c r="Q53" i="3"/>
  <c r="O31" i="3"/>
  <c r="M31" i="3"/>
  <c r="Q31" i="3"/>
  <c r="O46" i="3"/>
  <c r="M46" i="3"/>
  <c r="Q46" i="3"/>
  <c r="M55" i="3"/>
  <c r="O55" i="3"/>
  <c r="Q55" i="3"/>
  <c r="O25" i="3"/>
  <c r="M25" i="3"/>
  <c r="Q25" i="3"/>
  <c r="O27" i="3"/>
  <c r="M27" i="3"/>
  <c r="Q27" i="3"/>
  <c r="O5" i="3"/>
  <c r="M5" i="3"/>
  <c r="Q5" i="3"/>
  <c r="M24" i="3"/>
  <c r="O24" i="3"/>
  <c r="Q24" i="3"/>
  <c r="M51" i="3"/>
  <c r="O51" i="3"/>
  <c r="Q51" i="3"/>
  <c r="M34" i="3"/>
  <c r="O34" i="3"/>
  <c r="Q34" i="3"/>
  <c r="M18" i="3"/>
  <c r="O18" i="3"/>
  <c r="Q18" i="3"/>
  <c r="O9" i="3"/>
  <c r="M9" i="3"/>
  <c r="Q9" i="3"/>
  <c r="O52" i="3"/>
  <c r="M52" i="3"/>
  <c r="Q52" i="3"/>
  <c r="O19" i="3"/>
  <c r="M19" i="3"/>
  <c r="Q19" i="3"/>
  <c r="O21" i="3"/>
  <c r="M21" i="3"/>
  <c r="Q21" i="3"/>
  <c r="M8" i="3"/>
  <c r="O8" i="3"/>
  <c r="Q8" i="3"/>
  <c r="M26" i="3"/>
  <c r="O26" i="3"/>
  <c r="Q26" i="3"/>
  <c r="O33" i="3"/>
  <c r="M33" i="3"/>
  <c r="Q33" i="3"/>
  <c r="M20" i="3"/>
  <c r="O20" i="3"/>
  <c r="Q20" i="3"/>
  <c r="O48" i="3"/>
  <c r="M48" i="3"/>
  <c r="Q48" i="3"/>
  <c r="O15" i="3"/>
  <c r="M15" i="3"/>
  <c r="Q15" i="3"/>
  <c r="O13" i="3"/>
  <c r="M13" i="3"/>
  <c r="Q13" i="3"/>
  <c r="M32" i="3"/>
  <c r="O32" i="3"/>
  <c r="Q32" i="3"/>
  <c r="M38" i="3"/>
  <c r="O38" i="3"/>
  <c r="Q38" i="3"/>
  <c r="M22" i="3"/>
  <c r="O22" i="3"/>
  <c r="Q22" i="3"/>
  <c r="M6" i="3"/>
  <c r="O6" i="3"/>
  <c r="Q6" i="3"/>
  <c r="M45" i="3"/>
  <c r="O45" i="3"/>
  <c r="Q45" i="3"/>
  <c r="M12" i="3"/>
  <c r="O12" i="3"/>
  <c r="Q12" i="3"/>
  <c r="O43" i="3"/>
  <c r="M43" i="3"/>
  <c r="Q43" i="3"/>
  <c r="O11" i="3"/>
  <c r="M11" i="3"/>
  <c r="Q11" i="3"/>
  <c r="O37" i="3"/>
  <c r="M37" i="3"/>
  <c r="Q37" i="3"/>
  <c r="O50" i="3"/>
  <c r="M50" i="3"/>
  <c r="Q50" i="3"/>
  <c r="O17" i="3"/>
  <c r="M17" i="3"/>
  <c r="Q17" i="3"/>
  <c r="M36" i="3"/>
  <c r="O36" i="3"/>
  <c r="Q36" i="3"/>
  <c r="O56" i="3"/>
  <c r="M56" i="3"/>
  <c r="Q56" i="3"/>
  <c r="O39" i="3"/>
  <c r="M39" i="3"/>
  <c r="Q39" i="3"/>
  <c r="O23" i="3"/>
  <c r="M23" i="3"/>
  <c r="Q23" i="3"/>
  <c r="O7" i="3"/>
  <c r="M7" i="3"/>
  <c r="Q7" i="3"/>
  <c r="O29" i="3"/>
  <c r="M29" i="3"/>
  <c r="Q29" i="3"/>
  <c r="M49" i="3"/>
  <c r="O49" i="3"/>
  <c r="Q49" i="3"/>
  <c r="M16" i="3"/>
  <c r="O16" i="3"/>
  <c r="Q16" i="3"/>
  <c r="M47" i="3"/>
  <c r="O47" i="3"/>
  <c r="Q47" i="3"/>
  <c r="M30" i="3"/>
  <c r="O30" i="3"/>
  <c r="Q30" i="3"/>
  <c r="M14" i="3"/>
  <c r="O14" i="3"/>
  <c r="Q14" i="3"/>
  <c r="C213" i="1"/>
  <c r="C214" i="1"/>
  <c r="C189" i="1"/>
  <c r="C188" i="1"/>
  <c r="C136" i="1"/>
  <c r="C135" i="1"/>
  <c r="O58" i="3" l="1"/>
  <c r="N58" i="3"/>
  <c r="Q58" i="3"/>
  <c r="P58" i="3"/>
  <c r="M58" i="3"/>
  <c r="C106" i="1"/>
  <c r="C73" i="1"/>
  <c r="C47" i="1" l="1"/>
  <c r="C35" i="1"/>
  <c r="C361" i="1" l="1"/>
  <c r="C362" i="1" s="1"/>
  <c r="C352" i="1"/>
  <c r="C354" i="1" s="1"/>
  <c r="C345" i="1"/>
  <c r="C346" i="1" s="1"/>
  <c r="C340" i="1"/>
  <c r="C339" i="1"/>
  <c r="C333" i="1"/>
  <c r="C334" i="1" s="1"/>
  <c r="C329" i="1"/>
  <c r="C321" i="1"/>
  <c r="C316" i="1"/>
  <c r="C318" i="1"/>
  <c r="C309" i="1"/>
  <c r="C312" i="1" s="1"/>
  <c r="C304" i="1"/>
  <c r="C296" i="1"/>
  <c r="C295" i="1"/>
  <c r="C294" i="1"/>
  <c r="C289" i="1"/>
  <c r="C281" i="1"/>
  <c r="C280" i="1"/>
  <c r="C270" i="1"/>
  <c r="C260" i="1"/>
  <c r="C254" i="1"/>
  <c r="C253" i="1"/>
  <c r="C249" i="1"/>
  <c r="C241" i="1"/>
  <c r="C232" i="1"/>
  <c r="C226" i="1"/>
  <c r="C225" i="1"/>
  <c r="C224" i="1"/>
  <c r="C220" i="1"/>
  <c r="C221" i="1"/>
  <c r="C212" i="1"/>
  <c r="C206" i="1"/>
  <c r="C207" i="1" s="1"/>
  <c r="C201" i="1"/>
  <c r="C202" i="1" s="1"/>
  <c r="C195" i="1"/>
  <c r="C193" i="1"/>
  <c r="C187" i="1"/>
  <c r="C186" i="1"/>
  <c r="C180" i="1"/>
  <c r="C179" i="1"/>
  <c r="C175" i="1"/>
  <c r="C168" i="1"/>
  <c r="C169" i="1" s="1"/>
  <c r="C161" i="1"/>
  <c r="C154" i="1"/>
  <c r="C157" i="1" s="1"/>
  <c r="C150" i="1"/>
  <c r="C143" i="1"/>
  <c r="C142" i="1"/>
  <c r="C141" i="1"/>
  <c r="C134" i="1"/>
  <c r="C137" i="1" s="1"/>
  <c r="C128" i="1"/>
  <c r="C130" i="1" s="1"/>
  <c r="C122" i="1"/>
  <c r="C121" i="1"/>
  <c r="C120" i="1"/>
  <c r="C114" i="1"/>
  <c r="C112" i="1"/>
  <c r="C107" i="1"/>
  <c r="C108" i="1" s="1"/>
  <c r="C91" i="1"/>
  <c r="C93" i="1" s="1"/>
  <c r="C87" i="1"/>
  <c r="C81" i="1"/>
  <c r="C82" i="1" s="1"/>
  <c r="C74" i="1"/>
  <c r="C72" i="1"/>
  <c r="C67" i="1"/>
  <c r="C62" i="1"/>
  <c r="C63" i="1" s="1"/>
  <c r="C57" i="1"/>
  <c r="C58" i="1" s="1"/>
  <c r="C53" i="1"/>
  <c r="C46" i="1"/>
  <c r="C48" i="1" s="1"/>
  <c r="C41" i="1"/>
  <c r="C28" i="1"/>
  <c r="C26" i="1"/>
  <c r="C21" i="1"/>
  <c r="C20" i="1"/>
  <c r="C13" i="1"/>
  <c r="C15" i="1" s="1"/>
  <c r="C9" i="1"/>
  <c r="C228" i="1" l="1"/>
  <c r="C10" i="5" s="1"/>
  <c r="E10" i="5" s="1"/>
  <c r="C145" i="1"/>
  <c r="C282" i="1"/>
  <c r="B45" i="3" s="1"/>
  <c r="C181" i="1"/>
  <c r="B31" i="3" s="1"/>
  <c r="C197" i="1"/>
  <c r="C58" i="5" s="1"/>
  <c r="E58" i="5" s="1"/>
  <c r="C262" i="1"/>
  <c r="B42" i="3" s="1"/>
  <c r="C69" i="1"/>
  <c r="C14" i="5" s="1"/>
  <c r="E14" i="5" s="1"/>
  <c r="C256" i="1"/>
  <c r="C31" i="5" s="1"/>
  <c r="E31" i="5" s="1"/>
  <c r="B56" i="3"/>
  <c r="C101" i="1"/>
  <c r="C30" i="5" s="1"/>
  <c r="E30" i="5" s="1"/>
  <c r="C190" i="1"/>
  <c r="B32" i="3" s="1"/>
  <c r="C234" i="1"/>
  <c r="C42" i="5" s="1"/>
  <c r="E42" i="5" s="1"/>
  <c r="C22" i="1"/>
  <c r="B7" i="3" s="1"/>
  <c r="C164" i="1"/>
  <c r="C36" i="5" s="1"/>
  <c r="E36" i="5" s="1"/>
  <c r="C242" i="1"/>
  <c r="B39" i="3" s="1"/>
  <c r="C51" i="5"/>
  <c r="E51" i="5" s="1"/>
  <c r="C43" i="5"/>
  <c r="E43" i="5" s="1"/>
  <c r="B51" i="3"/>
  <c r="C51" i="3" s="1"/>
  <c r="C30" i="1"/>
  <c r="B8" i="3" s="1"/>
  <c r="C115" i="1"/>
  <c r="B21" i="3" s="1"/>
  <c r="C27" i="5"/>
  <c r="E27" i="5" s="1"/>
  <c r="B9" i="3"/>
  <c r="C9" i="3" s="1"/>
  <c r="C12" i="5"/>
  <c r="E12" i="5" s="1"/>
  <c r="B30" i="3"/>
  <c r="C30" i="3" s="1"/>
  <c r="C75" i="1"/>
  <c r="C37" i="5" s="1"/>
  <c r="E37" i="5" s="1"/>
  <c r="C342" i="1"/>
  <c r="B53" i="3" s="1"/>
  <c r="C50" i="5"/>
  <c r="E50" i="5" s="1"/>
  <c r="B24" i="3"/>
  <c r="C38" i="5"/>
  <c r="E38" i="5" s="1"/>
  <c r="B29" i="3"/>
  <c r="C53" i="5"/>
  <c r="E53" i="5" s="1"/>
  <c r="B52" i="3"/>
  <c r="C55" i="5"/>
  <c r="E55" i="5" s="1"/>
  <c r="B13" i="3"/>
  <c r="C41" i="5"/>
  <c r="E41" i="5" s="1"/>
  <c r="B20" i="3"/>
  <c r="C13" i="5"/>
  <c r="E13" i="5" s="1"/>
  <c r="C21" i="5"/>
  <c r="E21" i="5" s="1"/>
  <c r="B6" i="3"/>
  <c r="C32" i="5"/>
  <c r="E32" i="5" s="1"/>
  <c r="B10" i="3"/>
  <c r="C48" i="5"/>
  <c r="E48" i="5" s="1"/>
  <c r="B16" i="3"/>
  <c r="C45" i="5"/>
  <c r="E45" i="5" s="1"/>
  <c r="B27" i="3"/>
  <c r="C40" i="5"/>
  <c r="E40" i="5" s="1"/>
  <c r="B35" i="3"/>
  <c r="C16" i="5"/>
  <c r="E16" i="5" s="1"/>
  <c r="B43" i="3"/>
  <c r="C33" i="5"/>
  <c r="E33" i="5" s="1"/>
  <c r="B46" i="3"/>
  <c r="C24" i="5"/>
  <c r="E24" i="5" s="1"/>
  <c r="B48" i="3"/>
  <c r="C54" i="5"/>
  <c r="E54" i="5" s="1"/>
  <c r="B54" i="3"/>
  <c r="C26" i="5"/>
  <c r="E26" i="5" s="1"/>
  <c r="B12" i="3"/>
  <c r="C57" i="5"/>
  <c r="E57" i="5" s="1"/>
  <c r="B17" i="3"/>
  <c r="C124" i="1"/>
  <c r="C44" i="5"/>
  <c r="E44" i="5" s="1"/>
  <c r="B40" i="3"/>
  <c r="C323" i="1"/>
  <c r="C35" i="5"/>
  <c r="E35" i="5" s="1"/>
  <c r="B5" i="3"/>
  <c r="C5" i="3" s="1"/>
  <c r="C49" i="5"/>
  <c r="E49" i="5" s="1"/>
  <c r="B11" i="3"/>
  <c r="C46" i="5"/>
  <c r="E46" i="5" s="1"/>
  <c r="B34" i="3"/>
  <c r="C28" i="5"/>
  <c r="E28" i="5" s="1"/>
  <c r="B49" i="3"/>
  <c r="C52" i="5"/>
  <c r="B55" i="3"/>
  <c r="C11" i="5"/>
  <c r="E11" i="5" s="1"/>
  <c r="B18" i="3"/>
  <c r="C39" i="5"/>
  <c r="E39" i="5" s="1"/>
  <c r="B26" i="3"/>
  <c r="C215" i="1"/>
  <c r="C298" i="1"/>
  <c r="C12" i="3" l="1"/>
  <c r="C43" i="3"/>
  <c r="C10" i="3"/>
  <c r="C20" i="3"/>
  <c r="C52" i="3"/>
  <c r="C56" i="3"/>
  <c r="C18" i="3"/>
  <c r="C49" i="3"/>
  <c r="C11" i="3"/>
  <c r="C17" i="3"/>
  <c r="C54" i="3"/>
  <c r="C46" i="3"/>
  <c r="C35" i="3"/>
  <c r="C16" i="3"/>
  <c r="C6" i="3"/>
  <c r="C21" i="3"/>
  <c r="C31" i="3"/>
  <c r="C26" i="3"/>
  <c r="C34" i="3"/>
  <c r="C48" i="3"/>
  <c r="C27" i="3"/>
  <c r="C42" i="3"/>
  <c r="C24" i="3"/>
  <c r="C7" i="3"/>
  <c r="C40" i="3"/>
  <c r="C13" i="3"/>
  <c r="C29" i="3"/>
  <c r="C53" i="3"/>
  <c r="C8" i="3"/>
  <c r="C39" i="3"/>
  <c r="C32" i="3"/>
  <c r="C45" i="3"/>
  <c r="C55" i="3"/>
  <c r="E52" i="5"/>
  <c r="C9" i="5"/>
  <c r="E9" i="5" s="1"/>
  <c r="C56" i="5"/>
  <c r="E56" i="5" s="1"/>
  <c r="C59" i="5"/>
  <c r="E59" i="5" s="1"/>
  <c r="B19" i="3"/>
  <c r="C47" i="5"/>
  <c r="E47" i="5" s="1"/>
  <c r="B14" i="3"/>
  <c r="B28" i="3"/>
  <c r="B15" i="3"/>
  <c r="C17" i="5"/>
  <c r="E17" i="5" s="1"/>
  <c r="C23" i="5"/>
  <c r="E23" i="5" s="1"/>
  <c r="B41" i="3"/>
  <c r="B38" i="3"/>
  <c r="B23" i="3"/>
  <c r="C8" i="5"/>
  <c r="E8" i="5" s="1"/>
  <c r="C25" i="5"/>
  <c r="E25" i="5" s="1"/>
  <c r="B37" i="3"/>
  <c r="C15" i="5"/>
  <c r="E15" i="5" s="1"/>
  <c r="F30" i="3"/>
  <c r="V30" i="3"/>
  <c r="X30" i="3"/>
  <c r="B33" i="3"/>
  <c r="F9" i="3"/>
  <c r="X9" i="3"/>
  <c r="V9" i="3"/>
  <c r="F51" i="3"/>
  <c r="V51" i="3"/>
  <c r="X51" i="3"/>
  <c r="C34" i="5"/>
  <c r="E34" i="5" s="1"/>
  <c r="B22" i="3"/>
  <c r="F10" i="3"/>
  <c r="X10" i="3"/>
  <c r="V10" i="3"/>
  <c r="F8" i="3"/>
  <c r="X8" i="3"/>
  <c r="V8" i="3"/>
  <c r="F20" i="3"/>
  <c r="X20" i="3"/>
  <c r="V20" i="3"/>
  <c r="F42" i="3"/>
  <c r="V42" i="3"/>
  <c r="X42" i="3"/>
  <c r="F29" i="3"/>
  <c r="V29" i="3"/>
  <c r="X29" i="3"/>
  <c r="F18" i="3"/>
  <c r="X18" i="3"/>
  <c r="V18" i="3"/>
  <c r="F31" i="3"/>
  <c r="V31" i="3"/>
  <c r="X31" i="3"/>
  <c r="F56" i="3"/>
  <c r="X56" i="3"/>
  <c r="V56" i="3"/>
  <c r="F43" i="3"/>
  <c r="X43" i="3"/>
  <c r="V43" i="3"/>
  <c r="C22" i="5"/>
  <c r="E22" i="5" s="1"/>
  <c r="B25" i="3"/>
  <c r="C29" i="5"/>
  <c r="E29" i="5" s="1"/>
  <c r="B36" i="3"/>
  <c r="F32" i="3"/>
  <c r="X32" i="3"/>
  <c r="V32" i="3"/>
  <c r="F16" i="3"/>
  <c r="X16" i="3"/>
  <c r="V16" i="3"/>
  <c r="F6" i="3"/>
  <c r="X6" i="3"/>
  <c r="V6" i="3"/>
  <c r="F45" i="3"/>
  <c r="X45" i="3"/>
  <c r="V45" i="3"/>
  <c r="F53" i="3"/>
  <c r="X53" i="3"/>
  <c r="V53" i="3"/>
  <c r="F52" i="3"/>
  <c r="X52" i="3"/>
  <c r="V52" i="3"/>
  <c r="F24" i="3"/>
  <c r="X24" i="3"/>
  <c r="V24" i="3"/>
  <c r="F40" i="3"/>
  <c r="X40" i="3"/>
  <c r="V40" i="3"/>
  <c r="F21" i="3"/>
  <c r="V21" i="3"/>
  <c r="X21" i="3"/>
  <c r="F13" i="3"/>
  <c r="V13" i="3"/>
  <c r="X13" i="3"/>
  <c r="C19" i="5"/>
  <c r="E19" i="5" s="1"/>
  <c r="B47" i="3"/>
  <c r="F55" i="3"/>
  <c r="X55" i="3"/>
  <c r="V55" i="3"/>
  <c r="F5" i="3"/>
  <c r="V5" i="3"/>
  <c r="X5" i="3"/>
  <c r="F17" i="3"/>
  <c r="V17" i="3"/>
  <c r="X17" i="3"/>
  <c r="F48" i="3"/>
  <c r="X48" i="3"/>
  <c r="V48" i="3"/>
  <c r="F26" i="3"/>
  <c r="X26" i="3"/>
  <c r="V26" i="3"/>
  <c r="F7" i="3"/>
  <c r="V7" i="3"/>
  <c r="X7" i="3"/>
  <c r="F49" i="3"/>
  <c r="X49" i="3"/>
  <c r="V49" i="3"/>
  <c r="F39" i="3"/>
  <c r="X39" i="3"/>
  <c r="V39" i="3"/>
  <c r="F34" i="3"/>
  <c r="X34" i="3"/>
  <c r="V34" i="3"/>
  <c r="F11" i="3"/>
  <c r="V11" i="3"/>
  <c r="X11" i="3"/>
  <c r="C20" i="5"/>
  <c r="E20" i="5" s="1"/>
  <c r="B50" i="3"/>
  <c r="F12" i="3"/>
  <c r="X12" i="3"/>
  <c r="V12" i="3"/>
  <c r="F54" i="3"/>
  <c r="X54" i="3"/>
  <c r="V54" i="3"/>
  <c r="F46" i="3"/>
  <c r="X46" i="3"/>
  <c r="V46" i="3"/>
  <c r="F35" i="3"/>
  <c r="X35" i="3"/>
  <c r="V35" i="3"/>
  <c r="F27" i="3"/>
  <c r="V27" i="3"/>
  <c r="X27" i="3"/>
  <c r="C22" i="3" l="1"/>
  <c r="C25" i="3"/>
  <c r="B58" i="3"/>
  <c r="C50" i="3"/>
  <c r="C36" i="3"/>
  <c r="C63" i="5"/>
  <c r="E63" i="5" s="1"/>
  <c r="C47" i="3"/>
  <c r="X33" i="3"/>
  <c r="C33" i="3"/>
  <c r="X23" i="3"/>
  <c r="C23" i="3"/>
  <c r="X37" i="3"/>
  <c r="C37" i="3"/>
  <c r="X38" i="3"/>
  <c r="C38" i="3"/>
  <c r="X15" i="3"/>
  <c r="C15" i="3"/>
  <c r="F19" i="3"/>
  <c r="C19" i="3"/>
  <c r="V41" i="3"/>
  <c r="C41" i="3"/>
  <c r="X28" i="3"/>
  <c r="C28" i="3"/>
  <c r="X14" i="3"/>
  <c r="C14" i="3"/>
  <c r="F38" i="3"/>
  <c r="X19" i="3"/>
  <c r="F15" i="3"/>
  <c r="V19" i="3"/>
  <c r="F14" i="3"/>
  <c r="V14" i="3"/>
  <c r="F28" i="3"/>
  <c r="V28" i="3"/>
  <c r="V15" i="3"/>
  <c r="V23" i="3"/>
  <c r="F23" i="3"/>
  <c r="F37" i="3"/>
  <c r="X41" i="3"/>
  <c r="F41" i="3"/>
  <c r="F33" i="3"/>
  <c r="V38" i="3"/>
  <c r="V37" i="3"/>
  <c r="V33" i="3"/>
  <c r="F47" i="3"/>
  <c r="X47" i="3"/>
  <c r="V47" i="3"/>
  <c r="F36" i="3"/>
  <c r="X36" i="3"/>
  <c r="V36" i="3"/>
  <c r="F22" i="3"/>
  <c r="X22" i="3"/>
  <c r="V22" i="3"/>
  <c r="F25" i="3"/>
  <c r="V25" i="3"/>
  <c r="X25" i="3"/>
  <c r="F50" i="3"/>
  <c r="X50" i="3"/>
  <c r="V50" i="3"/>
  <c r="C58" i="3" l="1"/>
  <c r="L7" i="6" l="1"/>
  <c r="C61" i="5"/>
  <c r="E61" i="5" s="1"/>
  <c r="F64" i="3"/>
  <c r="L9" i="6" l="1"/>
  <c r="L13" i="6"/>
</calcChain>
</file>

<file path=xl/sharedStrings.xml><?xml version="1.0" encoding="utf-8"?>
<sst xmlns="http://schemas.openxmlformats.org/spreadsheetml/2006/main" count="1089" uniqueCount="541">
  <si>
    <t>APPENDIX A</t>
  </si>
  <si>
    <t>STATE</t>
  </si>
  <si>
    <t>TYPE OF TAX</t>
  </si>
  <si>
    <t>RATE</t>
  </si>
  <si>
    <t>COMMENTS</t>
  </si>
  <si>
    <t>Alabama</t>
  </si>
  <si>
    <t>AL Cell Service Tax</t>
  </si>
  <si>
    <t>Access, interstate and intrastate</t>
  </si>
  <si>
    <t>E911</t>
  </si>
  <si>
    <t>TOTAL TRANSACTION TAX</t>
  </si>
  <si>
    <t>Alaska</t>
  </si>
  <si>
    <t>Local Sales Tax</t>
  </si>
  <si>
    <t>Avg. of Juneau (5%) &amp; Anchorage (0%)</t>
  </si>
  <si>
    <t>Local E911</t>
  </si>
  <si>
    <t>Anchorage - $1.50; Juneau - $1.90</t>
  </si>
  <si>
    <t xml:space="preserve">State USF </t>
  </si>
  <si>
    <t>Arizona</t>
  </si>
  <si>
    <t>State sales (transaction priv.)</t>
  </si>
  <si>
    <t>intrastate telecommunications service</t>
  </si>
  <si>
    <t>County sales (transaction priv.)</t>
  </si>
  <si>
    <t>City telecommunications</t>
  </si>
  <si>
    <t>Avg. Phoenix (4.7%) &amp; Tucson (6.0%)</t>
  </si>
  <si>
    <t>$.20 per month</t>
  </si>
  <si>
    <t>Arkansas</t>
  </si>
  <si>
    <t>State sales tax</t>
  </si>
  <si>
    <t>Local sales taxes</t>
  </si>
  <si>
    <t>Avg. Little Rock (2.5%) &amp; Fayetteville (3.25%)</t>
  </si>
  <si>
    <t>State High Cost Fund</t>
  </si>
  <si>
    <t>Wireless 911</t>
  </si>
  <si>
    <t xml:space="preserve">$.65 / month statewide.  </t>
  </si>
  <si>
    <t>TRS service &amp; TRS equipment</t>
  </si>
  <si>
    <t>California</t>
  </si>
  <si>
    <t>Local Utility User Tax</t>
  </si>
  <si>
    <t>Avg. of LA (9%) and Sacramento (7%)</t>
  </si>
  <si>
    <t>State 911</t>
  </si>
  <si>
    <t>intrastate</t>
  </si>
  <si>
    <t>PUC fee</t>
  </si>
  <si>
    <t>ULTS (lifeline)</t>
  </si>
  <si>
    <t>Deaf/CRS</t>
  </si>
  <si>
    <t>High Cost Funds A &amp; B</t>
  </si>
  <si>
    <t>Teleconnect Fund</t>
  </si>
  <si>
    <t>CASF - advanced services fund</t>
  </si>
  <si>
    <t>Colorado</t>
  </si>
  <si>
    <t>State Sales Tax</t>
  </si>
  <si>
    <t>access and intrastate</t>
  </si>
  <si>
    <t>Local Sales Tax -- City/County</t>
  </si>
  <si>
    <t>Denver ($.70) / Colorado Springs ($.70)</t>
  </si>
  <si>
    <t>USF</t>
  </si>
  <si>
    <t>Connecticut</t>
  </si>
  <si>
    <t>Delaware</t>
  </si>
  <si>
    <t>Public Utility Gross Receipts Tax</t>
  </si>
  <si>
    <t>Access and intrastate</t>
  </si>
  <si>
    <t>Local 911 tax</t>
  </si>
  <si>
    <t>$.60 / month</t>
  </si>
  <si>
    <t>District of Columbia</t>
  </si>
  <si>
    <t>Telecommunication Privilege Tax</t>
  </si>
  <si>
    <t xml:space="preserve">Monthly gross charge; </t>
  </si>
  <si>
    <t xml:space="preserve">$0.76 per month; </t>
  </si>
  <si>
    <t>Florida</t>
  </si>
  <si>
    <t>State Communications services</t>
  </si>
  <si>
    <t>Local Communications services</t>
  </si>
  <si>
    <t>Jacksonville 5.82%; Tallahassee 6.9%</t>
  </si>
  <si>
    <t>$.50/month statewide</t>
  </si>
  <si>
    <t>Georgia</t>
  </si>
  <si>
    <t xml:space="preserve">4% of "access charge" -- assume $35 </t>
  </si>
  <si>
    <t>Local sales tax</t>
  </si>
  <si>
    <t>Local 911</t>
  </si>
  <si>
    <t>Altanta -- $1.50/line; Augusta -- $1.50/line</t>
  </si>
  <si>
    <t>Hawaii</t>
  </si>
  <si>
    <t>Additional county tax</t>
  </si>
  <si>
    <t>PUC Fee</t>
  </si>
  <si>
    <t>$.66 per month</t>
  </si>
  <si>
    <t>Idaho</t>
  </si>
  <si>
    <t>Statewide wireless 911</t>
  </si>
  <si>
    <t>Illinois</t>
  </si>
  <si>
    <t>State telecom excise tax</t>
  </si>
  <si>
    <t>Simplified municipal tax</t>
  </si>
  <si>
    <t>Avg. of Chicago (7%) &amp; Springfield (4%)</t>
  </si>
  <si>
    <t>Indiana</t>
  </si>
  <si>
    <t>Utility receipts tax</t>
  </si>
  <si>
    <t>Same base as sales tax</t>
  </si>
  <si>
    <t>State USF</t>
  </si>
  <si>
    <t>Iowa</t>
  </si>
  <si>
    <t>Local option sales taxes</t>
  </si>
  <si>
    <t>Avg. of Cedar Rapids (1%) &amp; Des Moines (0%)</t>
  </si>
  <si>
    <t>Dual Party Relay Service fee</t>
  </si>
  <si>
    <t>$0.03 per month</t>
  </si>
  <si>
    <t>Kansas</t>
  </si>
  <si>
    <t>intrastate &amp; interstate</t>
  </si>
  <si>
    <t>Avg. of Wichita (1.0%) &amp; Topeka (2.65%)</t>
  </si>
  <si>
    <t>$.53 per month per line</t>
  </si>
  <si>
    <t>Kentucky</t>
  </si>
  <si>
    <t>School utility gross receipts</t>
  </si>
  <si>
    <t>Avg Frankfort (3%) and Lousiville (0%)</t>
  </si>
  <si>
    <t>Kentucky USF</t>
  </si>
  <si>
    <t xml:space="preserve">$.08 per month </t>
  </si>
  <si>
    <t>Kentucky TAP &amp; TRS</t>
  </si>
  <si>
    <t>$.04 per month</t>
  </si>
  <si>
    <t>$.70 / month</t>
  </si>
  <si>
    <t>Communications gross receipts tax</t>
  </si>
  <si>
    <t>Louisiana</t>
  </si>
  <si>
    <t>Intrastate rate</t>
  </si>
  <si>
    <t>New Orleans $0.85/mo.; Baton Rouge $.85/mo.</t>
  </si>
  <si>
    <t xml:space="preserve">May vary by carrier </t>
  </si>
  <si>
    <t>Maine</t>
  </si>
  <si>
    <t>State service provider tax</t>
  </si>
  <si>
    <t>911 tax</t>
  </si>
  <si>
    <t>$.45 per month</t>
  </si>
  <si>
    <t>Maine USF</t>
  </si>
  <si>
    <t>MTEAF</t>
  </si>
  <si>
    <t>Maryland</t>
  </si>
  <si>
    <t>"mobile telecommunications service"</t>
  </si>
  <si>
    <t>Local telecom excise</t>
  </si>
  <si>
    <t>$4.00 per month in Baltimore; no tax in Annapolis</t>
  </si>
  <si>
    <t>County 911</t>
  </si>
  <si>
    <t>Massachusetts</t>
  </si>
  <si>
    <t>interstate and intrastate</t>
  </si>
  <si>
    <t>$.75 per month</t>
  </si>
  <si>
    <t>Michigan</t>
  </si>
  <si>
    <t>State wireless 911</t>
  </si>
  <si>
    <t xml:space="preserve">$.19 per month </t>
  </si>
  <si>
    <t>County wireless 911</t>
  </si>
  <si>
    <t>Minnesota</t>
  </si>
  <si>
    <t>Interstate and intrastate</t>
  </si>
  <si>
    <t>Minneapolis (0.9%) and St. Paul (0.75%)</t>
  </si>
  <si>
    <t>Telecom access MN fund</t>
  </si>
  <si>
    <t>Mississippi</t>
  </si>
  <si>
    <t>$1.00 per month per line</t>
  </si>
  <si>
    <t>Missouri</t>
  </si>
  <si>
    <t>Local business license tax</t>
  </si>
  <si>
    <t xml:space="preserve">Jefferson City (7%); Kansas City (6% residential) </t>
  </si>
  <si>
    <t>Montana</t>
  </si>
  <si>
    <t>Telecom excise tax</t>
  </si>
  <si>
    <t>911 &amp; E911 tax</t>
  </si>
  <si>
    <t>$1.00 per number per month</t>
  </si>
  <si>
    <t>TDD tax</t>
  </si>
  <si>
    <t>$.10 per number per month</t>
  </si>
  <si>
    <t>Nebraska</t>
  </si>
  <si>
    <t>Access &amp; intrastate</t>
  </si>
  <si>
    <t>Lincoln (1.5%) and Omaha (1.5%)</t>
  </si>
  <si>
    <t>City business and occupation tax</t>
  </si>
  <si>
    <t>6.95% times FCC safe harbor</t>
  </si>
  <si>
    <t>TRS</t>
  </si>
  <si>
    <t>Nevada</t>
  </si>
  <si>
    <t>Local franchise / gross receipts</t>
  </si>
  <si>
    <t>5% of first $15 intrastate revenues</t>
  </si>
  <si>
    <t>State deaf relay charge</t>
  </si>
  <si>
    <t xml:space="preserve">Nevada USF </t>
  </si>
  <si>
    <t>New Hampshire</t>
  </si>
  <si>
    <t>Communication services tax</t>
  </si>
  <si>
    <t>$.57 per month</t>
  </si>
  <si>
    <t>New Jersey</t>
  </si>
  <si>
    <t>New Mexico</t>
  </si>
  <si>
    <t>State gross receipts (sales) tax</t>
  </si>
  <si>
    <t>City and county gross receipts tax</t>
  </si>
  <si>
    <t>TRS surcharge</t>
  </si>
  <si>
    <t>New York</t>
  </si>
  <si>
    <t>Intrastate and monthly access</t>
  </si>
  <si>
    <t>MCTD sales tax</t>
  </si>
  <si>
    <t>State excise tax (186e)</t>
  </si>
  <si>
    <t>mobile telecom service -- includes interstate</t>
  </si>
  <si>
    <t>MCTD excise/surcharge (186e)</t>
  </si>
  <si>
    <t xml:space="preserve">Local utility gross receipts tax </t>
  </si>
  <si>
    <t>NYC -- 84% of 2.35%; Albany 1%</t>
  </si>
  <si>
    <t xml:space="preserve">$1.20 per month </t>
  </si>
  <si>
    <t>Local wireless 911</t>
  </si>
  <si>
    <t>$.30 per month -- NYC &amp; most counties</t>
  </si>
  <si>
    <t xml:space="preserve">School district utility sales tax </t>
  </si>
  <si>
    <t>North Carolina</t>
  </si>
  <si>
    <t>TRS Charge</t>
  </si>
  <si>
    <t>$.11 per month</t>
  </si>
  <si>
    <t>North Dakota</t>
  </si>
  <si>
    <t>State gross receipts tax</t>
  </si>
  <si>
    <t>Up to $.11/mo -- currently $.04</t>
  </si>
  <si>
    <t>Ohio</t>
  </si>
  <si>
    <t>Regulatory fee</t>
  </si>
  <si>
    <t>Intrastate Gross Revenues</t>
  </si>
  <si>
    <t>State/local wireless 911</t>
  </si>
  <si>
    <t>Oklahoma</t>
  </si>
  <si>
    <t>Avg. of OK City (3.875%) &amp; Tulsa (4.017%)</t>
  </si>
  <si>
    <t>$.50 per month in OK City and Tulsa</t>
  </si>
  <si>
    <t>Oregon</t>
  </si>
  <si>
    <t>Local utililty tax</t>
  </si>
  <si>
    <t>No tax on wireless in Portland or Salem</t>
  </si>
  <si>
    <t>RSPF Surcharge</t>
  </si>
  <si>
    <t>Pennsylvania</t>
  </si>
  <si>
    <t>Philadephia 2%; Harrisburg 0%</t>
  </si>
  <si>
    <t xml:space="preserve">$1.00 per month </t>
  </si>
  <si>
    <t>Rhode Island</t>
  </si>
  <si>
    <t>Gross receipts tax</t>
  </si>
  <si>
    <t>911 fee</t>
  </si>
  <si>
    <t>$1.00 per month</t>
  </si>
  <si>
    <t>Additional wireless 911 fee</t>
  </si>
  <si>
    <t xml:space="preserve">$.26 per month </t>
  </si>
  <si>
    <t>South Carolina</t>
  </si>
  <si>
    <t>Municipal license tax</t>
  </si>
  <si>
    <t xml:space="preserve">Charleston (1.0%) and Columbia (1.0%) </t>
  </si>
  <si>
    <t>South Dakota</t>
  </si>
  <si>
    <t>access, interstate and  intrastate</t>
  </si>
  <si>
    <t>Wireless only effective 7/1/03</t>
  </si>
  <si>
    <t>local option sales tax</t>
  </si>
  <si>
    <t>Avg. of Pierre (2.0%) and Sioux Falls (2.0%)</t>
  </si>
  <si>
    <t>911 excise</t>
  </si>
  <si>
    <t>TRS fee</t>
  </si>
  <si>
    <t>intrastate receipts</t>
  </si>
  <si>
    <t>Tennessee</t>
  </si>
  <si>
    <t xml:space="preserve">Statewide local rate for intrastate </t>
  </si>
  <si>
    <t xml:space="preserve">911 tax </t>
  </si>
  <si>
    <t xml:space="preserve">Texas </t>
  </si>
  <si>
    <t>Austin (2.0%) &amp; Houston (2.0%)</t>
  </si>
  <si>
    <t>Wireless 911 tax</t>
  </si>
  <si>
    <t>$.50 per month per line</t>
  </si>
  <si>
    <t>Texas USF</t>
  </si>
  <si>
    <t>911 Equalization surcharge</t>
  </si>
  <si>
    <t>$.06 per line</t>
  </si>
  <si>
    <t>Utah</t>
  </si>
  <si>
    <t>Avg. of Salt Lake City (2.15%) and Provo (2.05%)</t>
  </si>
  <si>
    <t>Local utility wireless</t>
  </si>
  <si>
    <t>Levied at 3.5% max. in SLC and Provo</t>
  </si>
  <si>
    <t xml:space="preserve"> $.61/month</t>
  </si>
  <si>
    <t>Poison Control</t>
  </si>
  <si>
    <t>1.0% rate times FCC safe harbor</t>
  </si>
  <si>
    <t>State TRS</t>
  </si>
  <si>
    <t xml:space="preserve">Vermont </t>
  </si>
  <si>
    <t>Avg. of Montpelier (0%) and Burlington (1%)</t>
  </si>
  <si>
    <t>Virginia</t>
  </si>
  <si>
    <t>State communications sales tax</t>
  </si>
  <si>
    <t>Washington</t>
  </si>
  <si>
    <t>B&amp;O / Utility Franchise -- local</t>
  </si>
  <si>
    <t>911 -- state</t>
  </si>
  <si>
    <t>911 -- local</t>
  </si>
  <si>
    <t>West Virginia</t>
  </si>
  <si>
    <t>$3.00 per month</t>
  </si>
  <si>
    <t>Wisconsin</t>
  </si>
  <si>
    <t>Access, intrastate and interstate</t>
  </si>
  <si>
    <t>Avg. of Milwaukee (0.6%) &amp; Madison (0.5%)</t>
  </si>
  <si>
    <t>Police and Fire Protection Fee</t>
  </si>
  <si>
    <t>Wyoming</t>
  </si>
  <si>
    <t>Avg. of Cheyenne (2%) and Casper (1%)</t>
  </si>
  <si>
    <t>ARPU=</t>
  </si>
  <si>
    <t>FCC Safe Harbor =</t>
  </si>
  <si>
    <t>Sources:</t>
  </si>
  <si>
    <t>Methodology:  Committee on State Taxation, 50-State Study and Report on Telecommunications Taxation,</t>
  </si>
  <si>
    <t>2.6% times FCC safe harbor</t>
  </si>
  <si>
    <t>Avg. rate Atlanta (4%) &amp; Augusta (4%)</t>
  </si>
  <si>
    <t>$1.00 per month eff. 7/1/2013</t>
  </si>
  <si>
    <t>1.51% times FCC safe harbor</t>
  </si>
  <si>
    <t>0.7% times FCC safe harbor</t>
  </si>
  <si>
    <t>$.25 per month</t>
  </si>
  <si>
    <t>$.75 per month in all counties</t>
  </si>
  <si>
    <t>5.125% intrastate; 4.25% interstate</t>
  </si>
  <si>
    <t>3.45% times FCC safe harbor</t>
  </si>
  <si>
    <t>Avg. of Charleston (2.5%) and Columbia (2%)</t>
  </si>
  <si>
    <t>CST</t>
  </si>
  <si>
    <t>Statutory max 0.15%</t>
  </si>
  <si>
    <t>Sales Tax</t>
  </si>
  <si>
    <t>Wireless</t>
  </si>
  <si>
    <t>State-Local</t>
  </si>
  <si>
    <t>Rate</t>
  </si>
  <si>
    <t>Texas</t>
  </si>
  <si>
    <t>DC</t>
  </si>
  <si>
    <t>Vermont</t>
  </si>
  <si>
    <t>Population</t>
  </si>
  <si>
    <t>Rates</t>
  </si>
  <si>
    <t>1% rate increase 2010</t>
  </si>
  <si>
    <t>increase from 5% to 6.25% August 2009</t>
  </si>
  <si>
    <t xml:space="preserve">Population </t>
  </si>
  <si>
    <t>Weight</t>
  </si>
  <si>
    <t>Weighted</t>
  </si>
  <si>
    <t xml:space="preserve">Average </t>
  </si>
  <si>
    <t>weighted</t>
  </si>
  <si>
    <t>average</t>
  </si>
  <si>
    <t>simple</t>
  </si>
  <si>
    <t xml:space="preserve">Wireless </t>
  </si>
  <si>
    <t xml:space="preserve">Weighted </t>
  </si>
  <si>
    <t>Average</t>
  </si>
  <si>
    <t xml:space="preserve">Federal </t>
  </si>
  <si>
    <t>Weighted Avg.</t>
  </si>
  <si>
    <t>Simple Avg.</t>
  </si>
  <si>
    <t xml:space="preserve">Combined </t>
  </si>
  <si>
    <t>Federal/State/Local</t>
  </si>
  <si>
    <t xml:space="preserve">times </t>
  </si>
  <si>
    <t>mont 10%, birm 9%</t>
  </si>
  <si>
    <t xml:space="preserve">Juneau 5%, anchorage 0% </t>
  </si>
  <si>
    <t>Phx 8.3%; Tucson 8.1%</t>
  </si>
  <si>
    <t>Fay 9.75%; LR 9%</t>
  </si>
  <si>
    <t>LA 9%; Sacto 8.5%</t>
  </si>
  <si>
    <t>Den 7.62%; COS 7.63%</t>
  </si>
  <si>
    <t>2014 Notes</t>
  </si>
  <si>
    <t>CT 6.35%</t>
  </si>
  <si>
    <t>DC 5.75 down from 6 10/1/2013</t>
  </si>
  <si>
    <t>JAX 7%, Tall 7.5%</t>
  </si>
  <si>
    <t>Telephone service assistance program</t>
  </si>
  <si>
    <t>Chicago $3.90/mo.; others $.73/mo</t>
  </si>
  <si>
    <t>Atl 8%; Aug 8%</t>
  </si>
  <si>
    <t>HI 4%</t>
  </si>
  <si>
    <t>CHI 9.25%; SPR 8.5%</t>
  </si>
  <si>
    <t>$0.11 per month</t>
  </si>
  <si>
    <t>$.78 per month</t>
  </si>
  <si>
    <t xml:space="preserve"> $.03 per month </t>
  </si>
  <si>
    <t>0.01% times FCC safe harbor</t>
  </si>
  <si>
    <t xml:space="preserve">$.03 per month </t>
  </si>
  <si>
    <t>0.33% times FCC safe harbor</t>
  </si>
  <si>
    <t>NYC 4.5%; Albany 4%</t>
  </si>
  <si>
    <t>NYC 0.375%; Albany 0%</t>
  </si>
  <si>
    <t>Columbus (1.75%) and Cleveland (2.25%)</t>
  </si>
  <si>
    <t xml:space="preserve">$.75 per month </t>
  </si>
  <si>
    <t xml:space="preserve">simple </t>
  </si>
  <si>
    <t xml:space="preserve">average </t>
  </si>
  <si>
    <t>Intrastate toll assessment</t>
  </si>
  <si>
    <t>$.04 per line per month</t>
  </si>
  <si>
    <t>Washoe County = $.25 / month; Clark County no fee</t>
  </si>
  <si>
    <t xml:space="preserve"> TABLE 1: US Average Wireless and General Sales &amp; Use Tax Rates</t>
  </si>
  <si>
    <t>Weighted Average</t>
  </si>
  <si>
    <t>Wireless - federal tax &amp; fee</t>
  </si>
  <si>
    <t>Wireless federal/state/local tax &amp; fee</t>
  </si>
  <si>
    <t xml:space="preserve">Source:  Methodology derived from Committee on State Taxation, "50-State Study and Report on </t>
  </si>
  <si>
    <t>and local ordinances by Scott Mackey, KSE Partners LLP, Montpelier, VT</t>
  </si>
  <si>
    <t xml:space="preserve">Federal includes 3% federal excise tax (until 5/2006) and federal universal service fund charge, which is set </t>
  </si>
  <si>
    <t>by the FCC and varies quarterly:</t>
  </si>
  <si>
    <t>https://apps.fcc.gov/edocs_public/attachmatch/DA-14-812A1.pdf</t>
  </si>
  <si>
    <t>Federal USF 4/1/2004 -- 28.5% x 8.7% = 2.48%</t>
  </si>
  <si>
    <t>Federal USF 7/1/2005 -- 28.5% x 10.2% = 2.91%</t>
  </si>
  <si>
    <t>Federal USF 7/1/2006 -- 28.5% x 10.5% = 2.99%</t>
  </si>
  <si>
    <t xml:space="preserve">Federal USF 7/1/2007 -- 37.1% x 11.3% = 4.19%   </t>
  </si>
  <si>
    <t>Federal USF 7/1/2008 -- 37.1% x 11.4% = 4.23%</t>
  </si>
  <si>
    <t>Federal USF 7/1/2009 -- 37.1% x 12.9% = 4.79%</t>
  </si>
  <si>
    <t>Federal USF 7/1/2010 -- 37.1% x 13.6% = 5.05%</t>
  </si>
  <si>
    <t>Federal USF 7/1/2012 -- 37.1% x 15.7% = 5.82%</t>
  </si>
  <si>
    <t>Federal USF 7/1/2014 -- 37.1% x 15.7% = 5.82%</t>
  </si>
  <si>
    <t xml:space="preserve"> $47 ARPU</t>
  </si>
  <si>
    <t>Seattle, WA</t>
  </si>
  <si>
    <t>Omaha, NE</t>
  </si>
  <si>
    <t>New York, NY</t>
  </si>
  <si>
    <t>Kansas City, MO</t>
  </si>
  <si>
    <t>Los Angeles, CA</t>
  </si>
  <si>
    <t>Philadelphia, PA</t>
  </si>
  <si>
    <t>Baltimore, MD</t>
  </si>
  <si>
    <t>Tallahassee, FL</t>
  </si>
  <si>
    <t>Providence, RI</t>
  </si>
  <si>
    <t>One line @</t>
  </si>
  <si>
    <t>Family Share - 4 lines</t>
  </si>
  <si>
    <t>per month</t>
  </si>
  <si>
    <t>Tax Rate</t>
  </si>
  <si>
    <t xml:space="preserve">Tax on </t>
  </si>
  <si>
    <t>Tax on</t>
  </si>
  <si>
    <t>Chicago, IL*</t>
  </si>
  <si>
    <t>Family Share</t>
  </si>
  <si>
    <t>Tax</t>
  </si>
  <si>
    <t>Sales</t>
  </si>
  <si>
    <t>Table 3.</t>
  </si>
  <si>
    <t>US Weighted Average</t>
  </si>
  <si>
    <t>Table 4.</t>
  </si>
  <si>
    <t>State Wireless Taxes by Type</t>
  </si>
  <si>
    <t>State Gross Receipts Tax</t>
  </si>
  <si>
    <t>in Addition to Sales Tax</t>
  </si>
  <si>
    <t>Higher State Tax Rate</t>
  </si>
  <si>
    <t>in Lieu of Sales Tax</t>
  </si>
  <si>
    <t>Wireless Tax but</t>
  </si>
  <si>
    <t>No State Sales Tax</t>
  </si>
  <si>
    <t xml:space="preserve">Rhode Island </t>
  </si>
  <si>
    <t>Local Wireless Taxes by Type</t>
  </si>
  <si>
    <t>Table 5.</t>
  </si>
  <si>
    <t>Privilege, License or User Taxes</t>
  </si>
  <si>
    <t>State-Authorized Telecom Taxes</t>
  </si>
  <si>
    <t xml:space="preserve">School District and Other </t>
  </si>
  <si>
    <t>Special District Taxes</t>
  </si>
  <si>
    <t>City</t>
  </si>
  <si>
    <t xml:space="preserve"> 4 line plan @</t>
  </si>
  <si>
    <t>one line @</t>
  </si>
  <si>
    <t>Table 6.</t>
  </si>
  <si>
    <t>General Sales/Use Tax</t>
  </si>
  <si>
    <t>Table 2.</t>
  </si>
  <si>
    <t>Commonwealth IVU</t>
  </si>
  <si>
    <t>Municipal IVU</t>
  </si>
  <si>
    <t>Commonwealth USF</t>
  </si>
  <si>
    <t>Municipal VAT</t>
  </si>
  <si>
    <t>TOTAL</t>
  </si>
  <si>
    <t>Puerto Rico Wireless Tax Analysis</t>
  </si>
  <si>
    <t>Current Law (IVU) vs. Proposed VAT</t>
  </si>
  <si>
    <t>Current Law:</t>
  </si>
  <si>
    <t>$.50 per month assumes $48.79 monthly bill</t>
  </si>
  <si>
    <t>0.5% rate times 62.9% FCC intrastate safe harbor</t>
  </si>
  <si>
    <t>Commonwealth VAT</t>
  </si>
  <si>
    <t xml:space="preserve">TOTAL </t>
  </si>
  <si>
    <t>Impact on Consumers:</t>
  </si>
  <si>
    <t>Typical Single line ($48.79 / month)</t>
  </si>
  <si>
    <t xml:space="preserve">Monthly </t>
  </si>
  <si>
    <t>Annual</t>
  </si>
  <si>
    <t>Family Share, 4 lines ($120 / month)</t>
  </si>
  <si>
    <t>Additional tax under proposed law:</t>
  </si>
  <si>
    <t>Proposed VAT:</t>
  </si>
  <si>
    <t>Proposed Law:</t>
  </si>
  <si>
    <t>Comment:</t>
  </si>
  <si>
    <t>High Wireless Tax Rates in Selected Cities</t>
  </si>
  <si>
    <t>Federal, State, and Local</t>
  </si>
  <si>
    <t>Prince Georges County, MD</t>
  </si>
  <si>
    <t>Prince Georges County, MD (current)</t>
  </si>
  <si>
    <t>Prince Georges County, MD (proposed)</t>
  </si>
  <si>
    <t>Highest Wireless Taxes in Local Jurisdictions 2014 -- Single Line Plans</t>
  </si>
  <si>
    <t>Chicago, IL</t>
  </si>
  <si>
    <t>City Telecom Excise Tax</t>
  </si>
  <si>
    <t>911 Fee</t>
  </si>
  <si>
    <t>Federal USF</t>
  </si>
  <si>
    <t>Local telecom tax</t>
  </si>
  <si>
    <t>State &amp; Local 911</t>
  </si>
  <si>
    <t>PG County, MD (proposed)</t>
  </si>
  <si>
    <t>City Sales Tax</t>
  </si>
  <si>
    <t>Chicago $3.90/mo.</t>
  </si>
  <si>
    <t>NYC &amp; surrounding counties - .6%</t>
  </si>
  <si>
    <t xml:space="preserve">$.30 per month -- NYC </t>
  </si>
  <si>
    <t>$4.00 per line / month</t>
  </si>
  <si>
    <t>PG County, MD (current)</t>
  </si>
  <si>
    <t>$1.26 per month</t>
  </si>
  <si>
    <t>Fedeal USF</t>
  </si>
  <si>
    <t>TOP LOCAL WIRELESS TAX RATES, 2014</t>
  </si>
  <si>
    <t>Federal, State, and Local Taxes &amp; Fees</t>
  </si>
  <si>
    <t xml:space="preserve">Single Rate Plan </t>
  </si>
  <si>
    <t>State and Local Transaction Taxes, Fees, and Government Charges on Wireless Service  -- July 1, 2015</t>
  </si>
  <si>
    <t>BTV 7%; Mont 6%</t>
  </si>
  <si>
    <t>$.40/month statewide</t>
  </si>
  <si>
    <t>NYC &amp; surrounding counties - .72%; Albany 0%</t>
  </si>
  <si>
    <t xml:space="preserve"> Albany 3%; NYC no tax</t>
  </si>
  <si>
    <t>May 2005.  Updated July 2015 by Scott Mackey, KSE Partners LLP, using state statutes and regulations.</t>
  </si>
  <si>
    <t>$.60 per month</t>
  </si>
  <si>
    <t>state increase to 6.5% from 6.15% 7/1/15</t>
  </si>
  <si>
    <t>Va Beach 6%; Richmont 5.3%</t>
  </si>
  <si>
    <t>Charleston up .5% to 1% 7/1/15</t>
  </si>
  <si>
    <t>Jackson 8%</t>
  </si>
  <si>
    <t>Cleveland 8%; Columbus 7.5%</t>
  </si>
  <si>
    <t>10.4% times FCC safe harbor</t>
  </si>
  <si>
    <t>5.5% times FCC safe harbor</t>
  </si>
  <si>
    <t>0.75% times FCC safe harbor</t>
  </si>
  <si>
    <t>0.18% times FCC safe harbor</t>
  </si>
  <si>
    <t>2.4% times FCC safe harbor</t>
  </si>
  <si>
    <t>0.5% times FCC safe harbor</t>
  </si>
  <si>
    <t>0.35% times FCC safe harbor</t>
  </si>
  <si>
    <t>1.08% times FCC safe harbor</t>
  </si>
  <si>
    <t>0.464% times FCC safe harbor</t>
  </si>
  <si>
    <t>$1.75/ month</t>
  </si>
  <si>
    <t>$.51 per line</t>
  </si>
  <si>
    <t>Set annually by PUC -- currently $.01/mo</t>
  </si>
  <si>
    <t xml:space="preserve">Boise =  $1.00 per month </t>
  </si>
  <si>
    <t>Increased from $.90 to $1.00 7/1/2015</t>
  </si>
  <si>
    <t>Puerto Rico</t>
  </si>
  <si>
    <t>1.39% times FCC safe harbor</t>
  </si>
  <si>
    <t>IVU (Sales Tax)</t>
  </si>
  <si>
    <t>$.50 per line</t>
  </si>
  <si>
    <t xml:space="preserve">Puerto Rico </t>
  </si>
  <si>
    <t>.62% x FCC safe harbor</t>
  </si>
  <si>
    <t>6.47% x FCC safe harbor</t>
  </si>
  <si>
    <t>Detroit $.70; Lansing $.65</t>
  </si>
  <si>
    <t>Avg. Jefferson City (3.5%) &amp; Kansas City (4.625%)</t>
  </si>
  <si>
    <t>Federal USF 7/1/2015 -- 37.1% x 17.4% = 6.46%</t>
  </si>
  <si>
    <t xml:space="preserve">$.90 per month </t>
  </si>
  <si>
    <t>$.14 per month</t>
  </si>
  <si>
    <t>Avg Fargo (2.5%) &amp; Bismarck (1.5%)</t>
  </si>
  <si>
    <t>$1.00 Bismarck; $1.50 Fargo</t>
  </si>
  <si>
    <t>2.16% times FCC safe harbor</t>
  </si>
  <si>
    <t>$0.09 per month</t>
  </si>
  <si>
    <t>$1.00 per month; increases to $1.65 on 8/1/15</t>
  </si>
  <si>
    <t>$.62 / month</t>
  </si>
  <si>
    <t>$1.25 per month</t>
  </si>
  <si>
    <t>Avg.</t>
  </si>
  <si>
    <t>$.15 per month by statute</t>
  </si>
  <si>
    <t>3.3% times FCC safe harbor</t>
  </si>
  <si>
    <t xml:space="preserve">$.09/month </t>
  </si>
  <si>
    <t>$.06/month</t>
  </si>
  <si>
    <t xml:space="preserve">$.10 per line </t>
  </si>
  <si>
    <t>funds 911 and other programs</t>
  </si>
  <si>
    <t>Up to $.25/month -- $.04 currently</t>
  </si>
  <si>
    <t>1.2% times FCC safe harbor</t>
  </si>
  <si>
    <t>Avg. of Denver (4.75%) &amp; Colorado Springs (4.73%)</t>
  </si>
  <si>
    <t xml:space="preserve">weighted </t>
  </si>
  <si>
    <t>not incl. PR</t>
  </si>
  <si>
    <t xml:space="preserve">Source:  Methodology from COST, "50-State Study and Report on Telecommunications Taxation," May 2005.  Updated July 2015 using state statutes, FCC data, and local ordinances.  </t>
  </si>
  <si>
    <t>Average Revenue Per Unit (ARPU):  $46.64 per Cellular Telephone and Internet Association, July 2015.</t>
  </si>
  <si>
    <t>Taxes, Fees, and Government Charges on Wireless Service, July 2015</t>
  </si>
  <si>
    <t>911 Increases</t>
  </si>
  <si>
    <t>911 Reductions:</t>
  </si>
  <si>
    <t>CT</t>
  </si>
  <si>
    <t>FL</t>
  </si>
  <si>
    <t>AL</t>
  </si>
  <si>
    <t>IL</t>
  </si>
  <si>
    <t>IN</t>
  </si>
  <si>
    <t>MA</t>
  </si>
  <si>
    <t>MI</t>
  </si>
  <si>
    <t>ND</t>
  </si>
  <si>
    <t>TN</t>
  </si>
  <si>
    <t>SC</t>
  </si>
  <si>
    <t>USF Increases</t>
  </si>
  <si>
    <t>AK</t>
  </si>
  <si>
    <t>AR</t>
  </si>
  <si>
    <t>CA</t>
  </si>
  <si>
    <t>KS</t>
  </si>
  <si>
    <t>MN</t>
  </si>
  <si>
    <t>OK</t>
  </si>
  <si>
    <t>USF Reductions</t>
  </si>
  <si>
    <t>TX</t>
  </si>
  <si>
    <t>State Tax increases</t>
  </si>
  <si>
    <t>State Tax Cuts</t>
  </si>
  <si>
    <t>Local Tax Increases</t>
  </si>
  <si>
    <t>Local tax cuts</t>
  </si>
  <si>
    <t>NM</t>
  </si>
  <si>
    <t>PR</t>
  </si>
  <si>
    <t>None</t>
  </si>
  <si>
    <t>MO</t>
  </si>
  <si>
    <t>Telecommunications Taxation,"  May 2005.  Updated July 2015 from state statutes, FCC data,</t>
  </si>
  <si>
    <t>Federal USF 1/1/2003 -- 28.5% FCC "hold harmless" times 7.3% FCC contribution factor = 2.07%</t>
  </si>
  <si>
    <t>Disparity --  Wireless Tax Over General Sales Tax</t>
  </si>
  <si>
    <t>Wireless -state &amp; local tax &amp; fee</t>
  </si>
  <si>
    <t>Disparity Between Wireless Tax &amp; Fee Rate and General Sales Tax Rate, July 2015</t>
  </si>
  <si>
    <t>May 2005.  Updated July 2015 using state statutes, FCC data, and local ordinances.</t>
  </si>
  <si>
    <t>Source:  Methodology from COST, "50-State Study and Report on Telecommunications Taxation,"</t>
  </si>
  <si>
    <t>Over / Under</t>
  </si>
  <si>
    <t>Factor</t>
  </si>
  <si>
    <t xml:space="preserve">Weight </t>
  </si>
  <si>
    <t>Note:  Chart excludes local general sales taxes.</t>
  </si>
  <si>
    <t>Wireless Taxes and Fees on Multi-Line Plan in Selected Cities, July 2015</t>
  </si>
  <si>
    <t>Phoenix (Maricopa) = 0.7%; Tucson (Pima) = 0.5%</t>
  </si>
  <si>
    <t>Up from 0.32% to 0.68% of intrastate charges</t>
  </si>
  <si>
    <t>Increased to $1.25 from $.75 per month on 7/1/2015</t>
  </si>
  <si>
    <t>PUC increased from $.06 to $.08 on 11/1/2014</t>
  </si>
  <si>
    <t>Avg. of Omaha (6.25%) &amp; Lincoln (6.0%)</t>
  </si>
  <si>
    <t>Avg. Santa Fe (3.19%) &amp; Albuquerque (2.06%)</t>
  </si>
  <si>
    <t>$.51 per month</t>
  </si>
  <si>
    <t>Increased from 7% on 7/1/2015</t>
  </si>
  <si>
    <t xml:space="preserve">$1.16 per month </t>
  </si>
  <si>
    <t xml:space="preserve">$.25 per month </t>
  </si>
  <si>
    <t>$.70 per month</t>
  </si>
  <si>
    <t>Olympia (9%) &amp; Seattle (6%) average</t>
  </si>
  <si>
    <t>Olympia (2.3%) &amp; Seattle (3.0%) average</t>
  </si>
  <si>
    <t>0.026% times FCC safe harbor</t>
  </si>
  <si>
    <t>$.75 per month in Cheyenne and Casper</t>
  </si>
  <si>
    <t>Year</t>
  </si>
  <si>
    <t>Tax Rate (Right Scale)</t>
  </si>
  <si>
    <t>Avg. Bill (Left Scale)</t>
  </si>
  <si>
    <t>Public service company tax</t>
  </si>
  <si>
    <t xml:space="preserve">Disparity </t>
  </si>
  <si>
    <t>NA</t>
  </si>
  <si>
    <t>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</si>
</sst>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0000%"/>
    <numFmt numFmtId="166" formatCode="0.000%"/>
    <numFmt numFmtId="167" formatCode="0.000000000000000%"/>
    <numFmt numFmtId="168" formatCode="0.0000"/>
    <numFmt numFmtId="169" formatCode="0.00000%"/>
    <numFmt numFmtId="170" formatCode="0.00000000%"/>
    <numFmt numFmtId="171" formatCode="0.00000000000000%"/>
    <numFmt numFmtId="172" formatCode="0.0000%"/>
    <numFmt numFmtId="173" formatCode="_(* #,##0_);_(* \(#,##0\);_(* &quot;-&quot;??_);_(@_)"/>
    <numFmt numFmtId="174" formatCode="_(&quot;$&quot;* #,##0_);_(&quot;$&quot;* \(#,##0\);_(&quot;$&quot;* &quot;-&quot;??_);_(@_)"/>
    <numFmt numFmtId="175" formatCode="_(&quot;$&quot;* #,##0_);_(&quot;$&quot;* \(#,##0\);_(&quot;$&quot;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10" fontId="6" fillId="0" borderId="0" xfId="1" applyNumberFormat="1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left"/>
    </xf>
    <xf numFmtId="8" fontId="0" fillId="0" borderId="0" xfId="0" applyNumberForma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ill="1" applyAlignment="1">
      <alignment horizontal="center"/>
    </xf>
    <xf numFmtId="44" fontId="4" fillId="0" borderId="0" xfId="0" applyNumberFormat="1" applyFont="1" applyFill="1"/>
    <xf numFmtId="164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0" fontId="10" fillId="4" borderId="1" xfId="0" applyFont="1" applyFill="1" applyBorder="1" applyAlignment="1">
      <alignment horizontal="left" vertical="top" wrapText="1"/>
    </xf>
    <xf numFmtId="10" fontId="0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0" fontId="11" fillId="4" borderId="1" xfId="0" applyFont="1" applyFill="1" applyBorder="1" applyAlignment="1">
      <alignment horizontal="left" vertical="top" wrapText="1"/>
    </xf>
    <xf numFmtId="10" fontId="0" fillId="3" borderId="0" xfId="0" applyNumberFormat="1" applyFill="1"/>
    <xf numFmtId="43" fontId="0" fillId="0" borderId="0" xfId="8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10" fontId="12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1" fillId="4" borderId="2" xfId="0" applyFont="1" applyFill="1" applyBorder="1" applyAlignment="1">
      <alignment horizontal="left" vertical="top" wrapText="1"/>
    </xf>
    <xf numFmtId="10" fontId="12" fillId="0" borderId="2" xfId="0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0" xfId="0" applyNumberFormat="1" applyFill="1" applyAlignment="1">
      <alignment horizontal="center"/>
    </xf>
    <xf numFmtId="0" fontId="13" fillId="0" borderId="0" xfId="0" applyFont="1" applyAlignment="1">
      <alignment horizontal="left"/>
    </xf>
    <xf numFmtId="10" fontId="0" fillId="0" borderId="0" xfId="1" applyNumberFormat="1" applyFont="1" applyFill="1"/>
    <xf numFmtId="10" fontId="0" fillId="0" borderId="0" xfId="0" applyNumberFormat="1" applyFill="1"/>
    <xf numFmtId="165" fontId="0" fillId="0" borderId="0" xfId="0" applyNumberFormat="1" applyFill="1"/>
    <xf numFmtId="0" fontId="15" fillId="0" borderId="0" xfId="0" applyFont="1"/>
    <xf numFmtId="14" fontId="15" fillId="0" borderId="0" xfId="0" applyNumberFormat="1" applyFont="1"/>
    <xf numFmtId="0" fontId="2" fillId="0" borderId="0" xfId="0" applyFont="1"/>
    <xf numFmtId="10" fontId="15" fillId="0" borderId="0" xfId="0" applyNumberFormat="1" applyFont="1"/>
    <xf numFmtId="10" fontId="15" fillId="0" borderId="0" xfId="0" applyNumberFormat="1" applyFont="1" applyFill="1"/>
    <xf numFmtId="10" fontId="15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9"/>
    <xf numFmtId="0" fontId="15" fillId="0" borderId="0" xfId="0" applyNumberFormat="1" applyFont="1"/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6" fontId="0" fillId="0" borderId="0" xfId="0" applyNumberFormat="1" applyFill="1"/>
    <xf numFmtId="167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170" fontId="0" fillId="0" borderId="0" xfId="0" applyNumberFormat="1" applyFill="1"/>
    <xf numFmtId="9" fontId="0" fillId="0" borderId="0" xfId="0" applyNumberFormat="1" applyAlignment="1">
      <alignment horizontal="center"/>
    </xf>
    <xf numFmtId="171" fontId="0" fillId="0" borderId="0" xfId="0" applyNumberFormat="1" applyFill="1"/>
    <xf numFmtId="8" fontId="0" fillId="0" borderId="0" xfId="0" applyNumberFormat="1"/>
    <xf numFmtId="0" fontId="16" fillId="0" borderId="0" xfId="0" applyFont="1"/>
    <xf numFmtId="0" fontId="12" fillId="0" borderId="0" xfId="0" applyFont="1"/>
    <xf numFmtId="10" fontId="12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0" applyFont="1"/>
    <xf numFmtId="44" fontId="12" fillId="0" borderId="0" xfId="0" applyNumberFormat="1" applyFont="1"/>
    <xf numFmtId="0" fontId="17" fillId="0" borderId="0" xfId="0" applyFont="1"/>
    <xf numFmtId="0" fontId="18" fillId="0" borderId="0" xfId="0" applyFont="1"/>
    <xf numFmtId="0" fontId="10" fillId="0" borderId="2" xfId="0" applyFont="1" applyFill="1" applyBorder="1" applyAlignment="1">
      <alignment horizontal="left" vertical="top" wrapText="1"/>
    </xf>
    <xf numFmtId="10" fontId="5" fillId="0" borderId="2" xfId="0" applyNumberFormat="1" applyFon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Fill="1"/>
    <xf numFmtId="164" fontId="0" fillId="0" borderId="0" xfId="1" applyNumberFormat="1" applyFont="1" applyFill="1"/>
    <xf numFmtId="8" fontId="12" fillId="0" borderId="0" xfId="0" applyNumberFormat="1" applyFont="1"/>
    <xf numFmtId="172" fontId="0" fillId="0" borderId="0" xfId="0" applyNumberFormat="1"/>
    <xf numFmtId="164" fontId="0" fillId="0" borderId="0" xfId="0" applyNumberFormat="1"/>
    <xf numFmtId="164" fontId="12" fillId="0" borderId="0" xfId="0" applyNumberFormat="1" applyFont="1"/>
    <xf numFmtId="164" fontId="4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12" fillId="2" borderId="0" xfId="0" applyFont="1" applyFill="1"/>
    <xf numFmtId="0" fontId="0" fillId="2" borderId="0" xfId="0" applyFill="1"/>
    <xf numFmtId="164" fontId="0" fillId="2" borderId="0" xfId="0" applyNumberFormat="1" applyFill="1"/>
    <xf numFmtId="164" fontId="6" fillId="2" borderId="0" xfId="1" applyNumberFormat="1" applyFont="1" applyFill="1" applyAlignment="1">
      <alignment horizontal="center"/>
    </xf>
    <xf numFmtId="0" fontId="6" fillId="2" borderId="0" xfId="0" applyFont="1" applyFill="1"/>
    <xf numFmtId="164" fontId="5" fillId="2" borderId="0" xfId="1" applyNumberFormat="1" applyFont="1" applyFill="1" applyAlignment="1">
      <alignment horizontal="center"/>
    </xf>
    <xf numFmtId="0" fontId="4" fillId="2" borderId="0" xfId="0" applyFont="1" applyFill="1"/>
    <xf numFmtId="164" fontId="4" fillId="2" borderId="0" xfId="1" applyNumberFormat="1" applyFont="1" applyFill="1" applyAlignment="1">
      <alignment horizontal="center"/>
    </xf>
    <xf numFmtId="173" fontId="0" fillId="0" borderId="0" xfId="8" applyNumberFormat="1" applyFont="1" applyFill="1"/>
    <xf numFmtId="9" fontId="0" fillId="0" borderId="0" xfId="0" applyNumberFormat="1" applyFill="1"/>
    <xf numFmtId="44" fontId="0" fillId="0" borderId="0" xfId="10" applyFont="1" applyFill="1"/>
    <xf numFmtId="174" fontId="0" fillId="0" borderId="0" xfId="10" applyNumberFormat="1" applyFont="1" applyFill="1"/>
    <xf numFmtId="174" fontId="0" fillId="0" borderId="0" xfId="0" applyNumberFormat="1" applyFill="1"/>
    <xf numFmtId="173" fontId="0" fillId="0" borderId="0" xfId="0" applyNumberFormat="1" applyFill="1"/>
    <xf numFmtId="175" fontId="0" fillId="0" borderId="0" xfId="0" applyNumberFormat="1" applyFill="1"/>
    <xf numFmtId="2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12" fillId="0" borderId="0" xfId="1" applyNumberFormat="1" applyFont="1" applyFill="1" applyAlignment="1">
      <alignment horizontal="center"/>
    </xf>
    <xf numFmtId="172" fontId="0" fillId="0" borderId="0" xfId="0" applyNumberFormat="1" applyFill="1"/>
    <xf numFmtId="0" fontId="12" fillId="0" borderId="0" xfId="0" applyFon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 wrapText="1"/>
    </xf>
    <xf numFmtId="17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0" fontId="5" fillId="0" borderId="0" xfId="1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1">
    <cellStyle name="Comma" xfId="8" builtinId="3"/>
    <cellStyle name="Currency" xfId="10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Wireless Tax Rate vs. Average Monthly Bill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'ARPU v tax'!$B$3</c:f>
              <c:strCache>
                <c:ptCount val="1"/>
                <c:pt idx="0">
                  <c:v>Avg. Bill (Left Scale)</c:v>
                </c:pt>
              </c:strCache>
            </c:strRef>
          </c:tx>
          <c:invertIfNegative val="0"/>
          <c:cat>
            <c:numRef>
              <c:f>'ARPU v tax'!$A$4:$A$13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2012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'ARPU v tax'!$B$4:$B$13</c:f>
              <c:numCache>
                <c:formatCode>_("$"* #,##0.00_);_("$"* \(#,##0.00\);_("$"* "-"??_);_(@_)</c:formatCode>
                <c:ptCount val="10"/>
                <c:pt idx="0">
                  <c:v>48.4</c:v>
                </c:pt>
                <c:pt idx="1">
                  <c:v>50.64</c:v>
                </c:pt>
                <c:pt idx="2">
                  <c:v>49.98</c:v>
                </c:pt>
                <c:pt idx="3">
                  <c:v>49.94</c:v>
                </c:pt>
                <c:pt idx="4">
                  <c:v>49.94</c:v>
                </c:pt>
                <c:pt idx="5">
                  <c:v>49.79</c:v>
                </c:pt>
                <c:pt idx="6">
                  <c:v>48.16</c:v>
                </c:pt>
                <c:pt idx="7">
                  <c:v>47</c:v>
                </c:pt>
                <c:pt idx="8">
                  <c:v>48.79</c:v>
                </c:pt>
                <c:pt idx="9">
                  <c:v>46.64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7552080"/>
        <c:axId val="427552640"/>
      </c:barChart>
      <c:lineChart>
        <c:grouping val="standard"/>
        <c:varyColors val="0"/>
        <c:ser>
          <c:idx val="1"/>
          <c:order val="1"/>
          <c:tx>
            <c:strRef>
              <c:f>'ARPU v tax'!$C$3</c:f>
              <c:strCache>
                <c:ptCount val="1"/>
                <c:pt idx="0">
                  <c:v>Tax Rate (Right Scale)</c:v>
                </c:pt>
              </c:strCache>
            </c:strRef>
          </c:tx>
          <c:cat>
            <c:numRef>
              <c:f>'ARPU v tax'!$A$4:$A$13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2012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'ARPU v tax'!$C$4:$C$13</c:f>
              <c:numCache>
                <c:formatCode>0.00%</c:formatCode>
                <c:ptCount val="10"/>
                <c:pt idx="0">
                  <c:v>0.16220000000000001</c:v>
                </c:pt>
                <c:pt idx="1">
                  <c:v>0.16849999999999998</c:v>
                </c:pt>
                <c:pt idx="2">
                  <c:v>0.14127357412640812</c:v>
                </c:pt>
                <c:pt idx="3">
                  <c:v>0.15190000000000001</c:v>
                </c:pt>
                <c:pt idx="4">
                  <c:v>0.150894</c:v>
                </c:pt>
                <c:pt idx="5">
                  <c:v>0.15529999999999999</c:v>
                </c:pt>
                <c:pt idx="6">
                  <c:v>0.16260000000000002</c:v>
                </c:pt>
                <c:pt idx="7">
                  <c:v>0.17182798242013292</c:v>
                </c:pt>
                <c:pt idx="8">
                  <c:v>0.17049999999999998</c:v>
                </c:pt>
                <c:pt idx="9">
                  <c:v>0.17955163314369552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299680"/>
        <c:axId val="427553200"/>
      </c:lineChart>
      <c:catAx>
        <c:axId val="42755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27552640"/>
        <c:crosses val="autoZero"/>
        <c:auto val="1"/>
        <c:lblAlgn val="ctr"/>
        <c:lblOffset val="100"/>
        <c:noMultiLvlLbl val="0"/>
      </c:catAx>
      <c:valAx>
        <c:axId val="427552640"/>
        <c:scaling>
          <c:orientation val="minMax"/>
          <c:max val="50"/>
          <c:min val="30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27552080"/>
        <c:crosses val="autoZero"/>
        <c:crossBetween val="between"/>
      </c:valAx>
      <c:valAx>
        <c:axId val="427553200"/>
        <c:scaling>
          <c:orientation val="minMax"/>
          <c:max val="0.2"/>
          <c:min val="0.1"/>
        </c:scaling>
        <c:delete val="0"/>
        <c:axPos val="r"/>
        <c:numFmt formatCode="0.00%" sourceLinked="1"/>
        <c:majorTickMark val="out"/>
        <c:minorTickMark val="none"/>
        <c:tickLblPos val="nextTo"/>
        <c:crossAx val="437299680"/>
        <c:crosses val="max"/>
        <c:crossBetween val="between"/>
        <c:majorUnit val="2.0000000000000004E-2"/>
        <c:minorUnit val="5.000000000000001E-3"/>
      </c:valAx>
      <c:catAx>
        <c:axId val="43729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5320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4</xdr:row>
      <xdr:rowOff>76200</xdr:rowOff>
    </xdr:from>
    <xdr:to>
      <xdr:col>18</xdr:col>
      <xdr:colOff>276224</xdr:colOff>
      <xdr:row>30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tt\AppData\Local\Microsoft\Windows\Temporary%20Internet%20Files\Content.Outlook\A398KG7Q\July%202012%20taxes%20and%20fees%20report%20tables%201%20to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tt\AppData\Local\Microsoft\Windows\Temporary%20Internet%20Files\Content.Outlook\A398KG7Q\wireless%20tax%20rates%20July%201%202006%20update%20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raw data worksheet"/>
      <sheetName val="USF "/>
      <sheetName val="911 Fees"/>
    </sheetNames>
    <sheetDataSet>
      <sheetData sheetId="0" refreshError="1"/>
      <sheetData sheetId="1">
        <row r="59">
          <cell r="C59">
            <v>0.1136279824201329</v>
          </cell>
        </row>
      </sheetData>
      <sheetData sheetId="2" refreshError="1"/>
      <sheetData sheetId="3" refreshError="1"/>
      <sheetData sheetId="4">
        <row r="57">
          <cell r="M57">
            <v>7.3301571974767304E-2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2 wrls v GB"/>
      <sheetName val="TBL3 06 vs 04"/>
      <sheetName val="Comparison worksheet"/>
      <sheetName val="Multiyear source data"/>
      <sheetName val="Aggregated wireless vs GB"/>
      <sheetName val="TBL 1 ranked"/>
      <sheetName val="Alpha by state"/>
      <sheetName val="Weighting calculations"/>
      <sheetName val="50 state detail"/>
      <sheetName val="Population data"/>
    </sheetNames>
    <sheetDataSet>
      <sheetData sheetId="0"/>
      <sheetData sheetId="1"/>
      <sheetData sheetId="2"/>
      <sheetData sheetId="3">
        <row r="6">
          <cell r="B6">
            <v>7.4005602240896362E-2</v>
          </cell>
        </row>
        <row r="58">
          <cell r="P58">
            <v>7.0426640156244308E-2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fcc.gov/edocs_public/attachmatch/DA-14-812A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2"/>
  <sheetViews>
    <sheetView topLeftCell="A344" workbookViewId="0">
      <selection activeCell="I371" sqref="I371"/>
    </sheetView>
  </sheetViews>
  <sheetFormatPr defaultColWidth="8.85546875" defaultRowHeight="15" x14ac:dyDescent="0.25"/>
  <cols>
    <col min="1" max="1" width="13.7109375" style="4" customWidth="1"/>
    <col min="2" max="2" width="32.5703125" style="4" customWidth="1"/>
    <col min="3" max="6" width="8.85546875" style="4"/>
    <col min="7" max="7" width="17" style="4" customWidth="1"/>
    <col min="8" max="8" width="14.85546875" style="4" customWidth="1"/>
    <col min="9" max="9" width="27" style="4" customWidth="1"/>
    <col min="10" max="10" width="20.42578125" style="4" bestFit="1" customWidth="1"/>
    <col min="11" max="11" width="8.85546875" style="4"/>
    <col min="12" max="12" width="13.28515625" style="4" customWidth="1"/>
    <col min="13" max="13" width="10.140625" style="4" bestFit="1" customWidth="1"/>
    <col min="14" max="16384" width="8.85546875" style="4"/>
  </cols>
  <sheetData>
    <row r="1" spans="1:4" ht="15.75" x14ac:dyDescent="0.25">
      <c r="A1" s="1" t="s">
        <v>0</v>
      </c>
      <c r="B1" s="1"/>
      <c r="C1" s="1"/>
      <c r="D1" s="1"/>
    </row>
    <row r="2" spans="1:4" x14ac:dyDescent="0.25">
      <c r="A2" s="20" t="s">
        <v>418</v>
      </c>
      <c r="B2" s="2"/>
      <c r="C2" s="2"/>
      <c r="D2" s="2"/>
    </row>
    <row r="3" spans="1:4" x14ac:dyDescent="0.25">
      <c r="A3" s="3"/>
      <c r="C3" s="5"/>
    </row>
    <row r="4" spans="1:4" x14ac:dyDescent="0.25">
      <c r="A4" s="3" t="s">
        <v>1</v>
      </c>
      <c r="B4" s="6" t="s">
        <v>2</v>
      </c>
      <c r="C4" s="7" t="s">
        <v>3</v>
      </c>
      <c r="D4" s="19" t="s">
        <v>4</v>
      </c>
    </row>
    <row r="5" spans="1:4" x14ac:dyDescent="0.25">
      <c r="A5" s="3"/>
      <c r="C5" s="5"/>
    </row>
    <row r="6" spans="1:4" x14ac:dyDescent="0.25">
      <c r="A6" s="3" t="s">
        <v>5</v>
      </c>
      <c r="C6" s="5"/>
    </row>
    <row r="7" spans="1:4" x14ac:dyDescent="0.25">
      <c r="A7" s="3"/>
      <c r="B7" s="4" t="s">
        <v>6</v>
      </c>
      <c r="C7" s="129">
        <v>0.06</v>
      </c>
      <c r="D7" s="4" t="s">
        <v>7</v>
      </c>
    </row>
    <row r="8" spans="1:4" x14ac:dyDescent="0.25">
      <c r="A8" s="3"/>
      <c r="B8" s="4" t="s">
        <v>8</v>
      </c>
      <c r="C8" s="129">
        <f>1.75/A365</f>
        <v>3.7521440823327618E-2</v>
      </c>
      <c r="D8" s="4" t="s">
        <v>439</v>
      </c>
    </row>
    <row r="9" spans="1:4" x14ac:dyDescent="0.25">
      <c r="A9" s="3"/>
      <c r="B9" s="3" t="s">
        <v>9</v>
      </c>
      <c r="C9" s="7">
        <f>SUM(C7:C8)</f>
        <v>9.7521440823327615E-2</v>
      </c>
    </row>
    <row r="10" spans="1:4" x14ac:dyDescent="0.25">
      <c r="A10" s="3"/>
      <c r="C10" s="5"/>
    </row>
    <row r="11" spans="1:4" x14ac:dyDescent="0.25">
      <c r="A11" s="3" t="s">
        <v>10</v>
      </c>
      <c r="C11" s="5"/>
    </row>
    <row r="12" spans="1:4" x14ac:dyDescent="0.25">
      <c r="A12" s="3"/>
      <c r="B12" s="4" t="s">
        <v>11</v>
      </c>
      <c r="C12" s="8">
        <v>2.5000000000000001E-2</v>
      </c>
      <c r="D12" s="4" t="s">
        <v>12</v>
      </c>
    </row>
    <row r="13" spans="1:4" x14ac:dyDescent="0.25">
      <c r="A13" s="9"/>
      <c r="B13" s="9" t="s">
        <v>13</v>
      </c>
      <c r="C13" s="8">
        <f>((1.5+1.9)/2)/A365</f>
        <v>3.6449399656946824E-2</v>
      </c>
      <c r="D13" s="9" t="s">
        <v>14</v>
      </c>
    </row>
    <row r="14" spans="1:4" x14ac:dyDescent="0.25">
      <c r="A14" s="3"/>
      <c r="B14" s="9" t="s">
        <v>15</v>
      </c>
      <c r="C14" s="129">
        <f>10.4%*$A$367</f>
        <v>6.5416000000000002E-2</v>
      </c>
      <c r="D14" s="13" t="s">
        <v>430</v>
      </c>
    </row>
    <row r="15" spans="1:4" x14ac:dyDescent="0.25">
      <c r="A15" s="3"/>
      <c r="B15" s="3" t="s">
        <v>9</v>
      </c>
      <c r="C15" s="7">
        <f>SUM(C12:C14)</f>
        <v>0.12686539965694682</v>
      </c>
      <c r="D15" s="10"/>
    </row>
    <row r="16" spans="1:4" x14ac:dyDescent="0.25">
      <c r="A16" s="3"/>
      <c r="C16" s="5"/>
    </row>
    <row r="17" spans="1:4" x14ac:dyDescent="0.25">
      <c r="A17" s="3" t="s">
        <v>16</v>
      </c>
      <c r="C17" s="5"/>
    </row>
    <row r="18" spans="1:4" x14ac:dyDescent="0.25">
      <c r="A18" s="3"/>
      <c r="B18" s="4" t="s">
        <v>17</v>
      </c>
      <c r="C18" s="8">
        <v>5.6000000000000001E-2</v>
      </c>
      <c r="D18" s="4" t="s">
        <v>18</v>
      </c>
    </row>
    <row r="19" spans="1:4" x14ac:dyDescent="0.25">
      <c r="A19" s="3"/>
      <c r="B19" s="9" t="s">
        <v>19</v>
      </c>
      <c r="C19" s="8">
        <v>6.0000000000000001E-3</v>
      </c>
      <c r="D19" s="13" t="s">
        <v>519</v>
      </c>
    </row>
    <row r="20" spans="1:4" x14ac:dyDescent="0.25">
      <c r="A20" s="3"/>
      <c r="B20" s="4" t="s">
        <v>20</v>
      </c>
      <c r="C20" s="8">
        <f>0.107/2</f>
        <v>5.3499999999999999E-2</v>
      </c>
      <c r="D20" s="9" t="s">
        <v>21</v>
      </c>
    </row>
    <row r="21" spans="1:4" x14ac:dyDescent="0.25">
      <c r="A21" s="3"/>
      <c r="B21" s="11">
        <v>911</v>
      </c>
      <c r="C21" s="8">
        <f>0.2/A365</f>
        <v>4.2881646655231562E-3</v>
      </c>
      <c r="D21" s="4" t="s">
        <v>22</v>
      </c>
    </row>
    <row r="22" spans="1:4" x14ac:dyDescent="0.25">
      <c r="A22" s="3"/>
      <c r="B22" s="3" t="s">
        <v>9</v>
      </c>
      <c r="C22" s="7">
        <f>SUM(C18:C21)</f>
        <v>0.11978816466552315</v>
      </c>
    </row>
    <row r="23" spans="1:4" x14ac:dyDescent="0.25">
      <c r="A23" s="3"/>
      <c r="C23" s="5"/>
    </row>
    <row r="24" spans="1:4" x14ac:dyDescent="0.25">
      <c r="A24" s="3" t="s">
        <v>23</v>
      </c>
      <c r="C24" s="5"/>
    </row>
    <row r="25" spans="1:4" x14ac:dyDescent="0.25">
      <c r="A25" s="3"/>
      <c r="B25" s="4" t="s">
        <v>24</v>
      </c>
      <c r="C25" s="8">
        <v>6.5000000000000002E-2</v>
      </c>
      <c r="D25" s="13"/>
    </row>
    <row r="26" spans="1:4" x14ac:dyDescent="0.25">
      <c r="A26" s="3"/>
      <c r="B26" s="4" t="s">
        <v>25</v>
      </c>
      <c r="C26" s="8">
        <f>(2.5%+3.25%)/2</f>
        <v>2.8750000000000001E-2</v>
      </c>
      <c r="D26" s="9" t="s">
        <v>26</v>
      </c>
    </row>
    <row r="27" spans="1:4" x14ac:dyDescent="0.25">
      <c r="A27" s="3"/>
      <c r="B27" s="9" t="s">
        <v>27</v>
      </c>
      <c r="C27" s="8">
        <f>5.5%*$A$367</f>
        <v>3.4595000000000001E-2</v>
      </c>
      <c r="D27" s="13" t="s">
        <v>431</v>
      </c>
    </row>
    <row r="28" spans="1:4" x14ac:dyDescent="0.25">
      <c r="A28" s="3"/>
      <c r="B28" s="4" t="s">
        <v>28</v>
      </c>
      <c r="C28" s="8">
        <f>0.65/A365</f>
        <v>1.3936535162950257E-2</v>
      </c>
      <c r="D28" s="4" t="s">
        <v>29</v>
      </c>
    </row>
    <row r="29" spans="1:4" x14ac:dyDescent="0.25">
      <c r="A29" s="3"/>
      <c r="B29" s="9" t="s">
        <v>30</v>
      </c>
      <c r="C29" s="8">
        <f>0.04/A365</f>
        <v>8.576329331046312E-4</v>
      </c>
      <c r="D29" s="13" t="s">
        <v>310</v>
      </c>
    </row>
    <row r="30" spans="1:4" x14ac:dyDescent="0.25">
      <c r="A30" s="3"/>
      <c r="B30" s="3" t="s">
        <v>9</v>
      </c>
      <c r="C30" s="7">
        <f>SUM(C25:C29)</f>
        <v>0.14313916809605487</v>
      </c>
    </row>
    <row r="31" spans="1:4" x14ac:dyDescent="0.25">
      <c r="A31" s="3"/>
      <c r="C31" s="5"/>
    </row>
    <row r="32" spans="1:4" x14ac:dyDescent="0.25">
      <c r="A32" s="3" t="s">
        <v>31</v>
      </c>
      <c r="C32" s="5"/>
    </row>
    <row r="33" spans="1:9" x14ac:dyDescent="0.25">
      <c r="A33" s="3"/>
      <c r="B33" s="9" t="s">
        <v>32</v>
      </c>
      <c r="C33" s="8">
        <v>0.08</v>
      </c>
      <c r="D33" s="9" t="s">
        <v>33</v>
      </c>
      <c r="I33" s="69"/>
    </row>
    <row r="34" spans="1:9" x14ac:dyDescent="0.25">
      <c r="A34" s="3"/>
      <c r="B34" s="11" t="s">
        <v>34</v>
      </c>
      <c r="C34" s="8">
        <f>0.75%*A367</f>
        <v>4.7174999999999995E-3</v>
      </c>
      <c r="D34" s="4" t="s">
        <v>432</v>
      </c>
    </row>
    <row r="35" spans="1:9" x14ac:dyDescent="0.25">
      <c r="A35" s="3"/>
      <c r="B35" s="4" t="s">
        <v>36</v>
      </c>
      <c r="C35" s="8">
        <f>0.18%*A367</f>
        <v>1.1321999999999999E-3</v>
      </c>
      <c r="D35" s="4" t="s">
        <v>433</v>
      </c>
    </row>
    <row r="36" spans="1:9" x14ac:dyDescent="0.25">
      <c r="A36" s="3"/>
      <c r="B36" s="4" t="s">
        <v>37</v>
      </c>
      <c r="C36" s="8">
        <f>2.4%*A367</f>
        <v>1.5096E-2</v>
      </c>
      <c r="D36" s="4" t="s">
        <v>434</v>
      </c>
      <c r="I36" s="69"/>
    </row>
    <row r="37" spans="1:9" x14ac:dyDescent="0.25">
      <c r="A37" s="3"/>
      <c r="B37" s="4" t="s">
        <v>38</v>
      </c>
      <c r="C37" s="8">
        <f>0.5%*A367</f>
        <v>3.1450000000000002E-3</v>
      </c>
      <c r="D37" s="4" t="s">
        <v>435</v>
      </c>
    </row>
    <row r="38" spans="1:9" x14ac:dyDescent="0.25">
      <c r="A38" s="3"/>
      <c r="B38" s="4" t="s">
        <v>39</v>
      </c>
      <c r="C38" s="8">
        <f>0.35%*A367</f>
        <v>2.2014999999999999E-3</v>
      </c>
      <c r="D38" s="4" t="s">
        <v>436</v>
      </c>
    </row>
    <row r="39" spans="1:9" x14ac:dyDescent="0.25">
      <c r="A39" s="3"/>
      <c r="B39" s="4" t="s">
        <v>40</v>
      </c>
      <c r="C39" s="5">
        <f>1.08%*A367</f>
        <v>6.7932000000000001E-3</v>
      </c>
      <c r="D39" s="4" t="s">
        <v>437</v>
      </c>
    </row>
    <row r="40" spans="1:9" x14ac:dyDescent="0.25">
      <c r="A40" s="3"/>
      <c r="B40" s="4" t="s">
        <v>41</v>
      </c>
      <c r="C40" s="5">
        <f>0.464%*A367</f>
        <v>2.9185600000000002E-3</v>
      </c>
      <c r="D40" s="4" t="s">
        <v>438</v>
      </c>
    </row>
    <row r="41" spans="1:9" x14ac:dyDescent="0.25">
      <c r="A41" s="3"/>
      <c r="B41" s="3" t="s">
        <v>9</v>
      </c>
      <c r="C41" s="7">
        <f>SUM(C33:C40)</f>
        <v>0.11600395999999999</v>
      </c>
    </row>
    <row r="42" spans="1:9" x14ac:dyDescent="0.25">
      <c r="A42" s="3"/>
      <c r="C42" s="5"/>
    </row>
    <row r="43" spans="1:9" x14ac:dyDescent="0.25">
      <c r="A43" s="3" t="s">
        <v>42</v>
      </c>
      <c r="C43" s="5"/>
    </row>
    <row r="44" spans="1:9" x14ac:dyDescent="0.25">
      <c r="A44" s="3"/>
      <c r="B44" s="4" t="s">
        <v>43</v>
      </c>
      <c r="C44" s="8">
        <v>2.9000000000000001E-2</v>
      </c>
      <c r="D44" s="4" t="s">
        <v>44</v>
      </c>
    </row>
    <row r="45" spans="1:9" x14ac:dyDescent="0.25">
      <c r="A45" s="3"/>
      <c r="B45" s="9" t="s">
        <v>45</v>
      </c>
      <c r="C45" s="8">
        <f>(4.75%+4.73%)/2</f>
        <v>4.7399999999999998E-2</v>
      </c>
      <c r="D45" s="13" t="s">
        <v>472</v>
      </c>
    </row>
    <row r="46" spans="1:9" x14ac:dyDescent="0.25">
      <c r="A46" s="3"/>
      <c r="B46" s="11">
        <v>911</v>
      </c>
      <c r="C46" s="8">
        <f>0.7/A365</f>
        <v>1.5008576329331046E-2</v>
      </c>
      <c r="D46" s="4" t="s">
        <v>46</v>
      </c>
    </row>
    <row r="47" spans="1:9" x14ac:dyDescent="0.25">
      <c r="A47" s="3"/>
      <c r="B47" s="4" t="s">
        <v>47</v>
      </c>
      <c r="C47" s="8">
        <f>2.6%*$A$367</f>
        <v>1.6354E-2</v>
      </c>
      <c r="D47" s="13" t="s">
        <v>243</v>
      </c>
    </row>
    <row r="48" spans="1:9" x14ac:dyDescent="0.25">
      <c r="A48" s="3"/>
      <c r="B48" s="3" t="s">
        <v>9</v>
      </c>
      <c r="C48" s="7">
        <f>SUM(C44:C47)</f>
        <v>0.10776257632933103</v>
      </c>
    </row>
    <row r="49" spans="1:4" x14ac:dyDescent="0.25">
      <c r="A49" s="3"/>
      <c r="C49" s="5"/>
    </row>
    <row r="50" spans="1:4" x14ac:dyDescent="0.25">
      <c r="A50" s="3" t="s">
        <v>48</v>
      </c>
      <c r="C50" s="5"/>
    </row>
    <row r="51" spans="1:4" x14ac:dyDescent="0.25">
      <c r="A51" s="3"/>
      <c r="B51" s="4" t="s">
        <v>24</v>
      </c>
      <c r="C51" s="8">
        <v>6.3500000000000001E-2</v>
      </c>
      <c r="D51" s="4" t="s">
        <v>7</v>
      </c>
    </row>
    <row r="52" spans="1:4" x14ac:dyDescent="0.25">
      <c r="A52" s="3"/>
      <c r="B52" s="11">
        <v>911</v>
      </c>
      <c r="C52" s="8">
        <f>0.51/A365</f>
        <v>1.0934819897084048E-2</v>
      </c>
      <c r="D52" s="12" t="s">
        <v>440</v>
      </c>
    </row>
    <row r="53" spans="1:4" x14ac:dyDescent="0.25">
      <c r="A53" s="3"/>
      <c r="B53" s="3" t="s">
        <v>9</v>
      </c>
      <c r="C53" s="7">
        <f>SUM(C51:C52)</f>
        <v>7.4434819897084045E-2</v>
      </c>
      <c r="D53" s="10"/>
    </row>
    <row r="54" spans="1:4" x14ac:dyDescent="0.25">
      <c r="A54" s="3"/>
      <c r="C54" s="5"/>
    </row>
    <row r="55" spans="1:4" x14ac:dyDescent="0.25">
      <c r="A55" s="3" t="s">
        <v>49</v>
      </c>
      <c r="C55" s="5"/>
    </row>
    <row r="56" spans="1:4" x14ac:dyDescent="0.25">
      <c r="A56" s="3"/>
      <c r="B56" s="4" t="s">
        <v>50</v>
      </c>
      <c r="C56" s="8">
        <v>0.05</v>
      </c>
      <c r="D56" s="4" t="s">
        <v>51</v>
      </c>
    </row>
    <row r="57" spans="1:4" x14ac:dyDescent="0.25">
      <c r="A57" s="3"/>
      <c r="B57" s="9" t="s">
        <v>52</v>
      </c>
      <c r="C57" s="8">
        <f>0.6/A365</f>
        <v>1.2864493996569467E-2</v>
      </c>
      <c r="D57" s="9" t="s">
        <v>53</v>
      </c>
    </row>
    <row r="58" spans="1:4" x14ac:dyDescent="0.25">
      <c r="A58" s="3"/>
      <c r="B58" s="3" t="s">
        <v>9</v>
      </c>
      <c r="C58" s="7">
        <f>SUM(C56:C57)</f>
        <v>6.2864493996569473E-2</v>
      </c>
    </row>
    <row r="59" spans="1:4" x14ac:dyDescent="0.25">
      <c r="A59" s="3"/>
      <c r="C59" s="5"/>
    </row>
    <row r="60" spans="1:4" x14ac:dyDescent="0.25">
      <c r="A60" s="3" t="s">
        <v>54</v>
      </c>
      <c r="C60" s="5"/>
    </row>
    <row r="61" spans="1:4" x14ac:dyDescent="0.25">
      <c r="A61" s="3"/>
      <c r="B61" s="4" t="s">
        <v>55</v>
      </c>
      <c r="C61" s="8">
        <v>0.1</v>
      </c>
      <c r="D61" s="9" t="s">
        <v>56</v>
      </c>
    </row>
    <row r="62" spans="1:4" x14ac:dyDescent="0.25">
      <c r="A62" s="3"/>
      <c r="B62" s="11">
        <v>911</v>
      </c>
      <c r="C62" s="8">
        <f>0.76/A365</f>
        <v>1.6295025728987993E-2</v>
      </c>
      <c r="D62" s="9" t="s">
        <v>57</v>
      </c>
    </row>
    <row r="63" spans="1:4" x14ac:dyDescent="0.25">
      <c r="A63" s="3"/>
      <c r="B63" s="3" t="s">
        <v>9</v>
      </c>
      <c r="C63" s="7">
        <f>SUM(C61:C62)</f>
        <v>0.11629502572898801</v>
      </c>
    </row>
    <row r="64" spans="1:4" x14ac:dyDescent="0.25">
      <c r="A64" s="3"/>
      <c r="C64" s="5"/>
    </row>
    <row r="65" spans="1:11" x14ac:dyDescent="0.25">
      <c r="A65" s="3" t="s">
        <v>58</v>
      </c>
      <c r="C65" s="5"/>
    </row>
    <row r="66" spans="1:11" x14ac:dyDescent="0.25">
      <c r="A66" s="9"/>
      <c r="B66" s="4" t="s">
        <v>59</v>
      </c>
      <c r="C66" s="8">
        <f>9.17%-1.73%</f>
        <v>7.4400000000000008E-2</v>
      </c>
      <c r="D66" s="4" t="s">
        <v>7</v>
      </c>
      <c r="I66" s="71"/>
    </row>
    <row r="67" spans="1:11" x14ac:dyDescent="0.25">
      <c r="A67" s="3"/>
      <c r="B67" s="9" t="s">
        <v>60</v>
      </c>
      <c r="C67" s="8">
        <f>(5.82%+6.9%)/2</f>
        <v>6.3600000000000004E-2</v>
      </c>
      <c r="D67" s="9" t="s">
        <v>61</v>
      </c>
      <c r="J67" s="66"/>
    </row>
    <row r="68" spans="1:11" x14ac:dyDescent="0.25">
      <c r="A68" s="3"/>
      <c r="B68" s="11">
        <v>911</v>
      </c>
      <c r="C68" s="8">
        <f>0.4/A365</f>
        <v>8.5763293310463125E-3</v>
      </c>
      <c r="D68" s="4" t="s">
        <v>420</v>
      </c>
    </row>
    <row r="69" spans="1:11" x14ac:dyDescent="0.25">
      <c r="A69" s="3"/>
      <c r="B69" s="3" t="s">
        <v>9</v>
      </c>
      <c r="C69" s="7">
        <f>SUM(C66:C68)</f>
        <v>0.14657632933104633</v>
      </c>
    </row>
    <row r="70" spans="1:11" x14ac:dyDescent="0.25">
      <c r="A70" s="3"/>
      <c r="C70" s="5"/>
    </row>
    <row r="71" spans="1:11" x14ac:dyDescent="0.25">
      <c r="A71" s="3" t="s">
        <v>63</v>
      </c>
      <c r="C71" s="5"/>
    </row>
    <row r="72" spans="1:11" x14ac:dyDescent="0.25">
      <c r="A72" s="3"/>
      <c r="B72" s="4" t="s">
        <v>24</v>
      </c>
      <c r="C72" s="8">
        <f>(35/A365)*0.04</f>
        <v>3.0017152658662095E-2</v>
      </c>
      <c r="D72" s="4" t="s">
        <v>64</v>
      </c>
      <c r="H72" s="51"/>
    </row>
    <row r="73" spans="1:11" x14ac:dyDescent="0.25">
      <c r="A73" s="3"/>
      <c r="B73" s="4" t="s">
        <v>65</v>
      </c>
      <c r="C73" s="8">
        <f>(35/A365)*0.04</f>
        <v>3.0017152658662095E-2</v>
      </c>
      <c r="D73" s="4" t="s">
        <v>244</v>
      </c>
    </row>
    <row r="74" spans="1:11" x14ac:dyDescent="0.25">
      <c r="A74" s="3"/>
      <c r="B74" s="4" t="s">
        <v>66</v>
      </c>
      <c r="C74" s="8">
        <f>1.5/A365</f>
        <v>3.2161234991423669E-2</v>
      </c>
      <c r="D74" s="4" t="s">
        <v>67</v>
      </c>
    </row>
    <row r="75" spans="1:11" x14ac:dyDescent="0.25">
      <c r="A75" s="3"/>
      <c r="B75" s="3" t="s">
        <v>9</v>
      </c>
      <c r="C75" s="7">
        <f>SUM(C72:C74)</f>
        <v>9.2195540308747853E-2</v>
      </c>
    </row>
    <row r="76" spans="1:11" x14ac:dyDescent="0.25">
      <c r="A76" s="3"/>
      <c r="C76" s="5"/>
    </row>
    <row r="77" spans="1:11" x14ac:dyDescent="0.25">
      <c r="A77" s="3" t="s">
        <v>68</v>
      </c>
      <c r="C77" s="5"/>
    </row>
    <row r="78" spans="1:11" x14ac:dyDescent="0.25">
      <c r="A78" s="3"/>
      <c r="B78" s="4" t="s">
        <v>537</v>
      </c>
      <c r="C78" s="8">
        <v>0.04</v>
      </c>
      <c r="K78" s="52"/>
    </row>
    <row r="79" spans="1:11" x14ac:dyDescent="0.25">
      <c r="A79" s="3"/>
      <c r="B79" s="4" t="s">
        <v>69</v>
      </c>
      <c r="C79" s="8">
        <v>1.8849999999999999E-2</v>
      </c>
      <c r="K79" s="52"/>
    </row>
    <row r="80" spans="1:11" x14ac:dyDescent="0.25">
      <c r="A80" s="3"/>
      <c r="B80" s="4" t="s">
        <v>70</v>
      </c>
      <c r="C80" s="8">
        <f>0.005*A367</f>
        <v>3.1450000000000002E-3</v>
      </c>
      <c r="D80" s="52" t="s">
        <v>435</v>
      </c>
    </row>
    <row r="81" spans="1:10" x14ac:dyDescent="0.25">
      <c r="A81" s="3"/>
      <c r="B81" s="4" t="s">
        <v>28</v>
      </c>
      <c r="C81" s="8">
        <f>0.66/A365</f>
        <v>1.4150943396226415E-2</v>
      </c>
      <c r="D81" s="4" t="s">
        <v>71</v>
      </c>
    </row>
    <row r="82" spans="1:10" x14ac:dyDescent="0.25">
      <c r="A82" s="3"/>
      <c r="B82" s="3" t="s">
        <v>9</v>
      </c>
      <c r="C82" s="7">
        <f>SUM(C78:C81)</f>
        <v>7.614594339622642E-2</v>
      </c>
    </row>
    <row r="83" spans="1:10" x14ac:dyDescent="0.25">
      <c r="A83" s="3"/>
      <c r="B83" s="3"/>
      <c r="C83" s="7"/>
    </row>
    <row r="84" spans="1:10" x14ac:dyDescent="0.25">
      <c r="A84" s="3" t="s">
        <v>72</v>
      </c>
      <c r="B84" s="3"/>
      <c r="C84" s="7"/>
    </row>
    <row r="85" spans="1:10" x14ac:dyDescent="0.25">
      <c r="A85" s="3"/>
      <c r="B85" s="13" t="s">
        <v>292</v>
      </c>
      <c r="C85" s="8">
        <f>0.01/A365</f>
        <v>2.144082332761578E-4</v>
      </c>
      <c r="D85" s="13" t="s">
        <v>441</v>
      </c>
    </row>
    <row r="86" spans="1:10" x14ac:dyDescent="0.25">
      <c r="A86" s="3"/>
      <c r="B86" s="9" t="s">
        <v>73</v>
      </c>
      <c r="C86" s="8">
        <f>1/A365</f>
        <v>2.1440823327615779E-2</v>
      </c>
      <c r="D86" s="13" t="s">
        <v>442</v>
      </c>
    </row>
    <row r="87" spans="1:10" x14ac:dyDescent="0.25">
      <c r="A87" s="3"/>
      <c r="B87" s="3" t="s">
        <v>9</v>
      </c>
      <c r="C87" s="7">
        <f>SUM(C85:C86)</f>
        <v>2.1655231560891938E-2</v>
      </c>
    </row>
    <row r="88" spans="1:10" x14ac:dyDescent="0.25">
      <c r="A88" s="3"/>
      <c r="B88" s="3"/>
      <c r="C88" s="7"/>
    </row>
    <row r="89" spans="1:10" x14ac:dyDescent="0.25">
      <c r="A89" s="3" t="s">
        <v>74</v>
      </c>
      <c r="B89" s="3"/>
      <c r="C89" s="7"/>
    </row>
    <row r="90" spans="1:10" x14ac:dyDescent="0.25">
      <c r="A90" s="3"/>
      <c r="B90" s="9" t="s">
        <v>75</v>
      </c>
      <c r="C90" s="8">
        <v>7.0000000000000007E-2</v>
      </c>
      <c r="D90" s="4" t="s">
        <v>7</v>
      </c>
      <c r="H90" s="89"/>
      <c r="J90" s="51"/>
    </row>
    <row r="91" spans="1:10" x14ac:dyDescent="0.25">
      <c r="A91" s="3"/>
      <c r="B91" s="9" t="s">
        <v>76</v>
      </c>
      <c r="C91" s="8">
        <f>(7%+4%)/2</f>
        <v>5.5000000000000007E-2</v>
      </c>
      <c r="D91" s="9" t="s">
        <v>77</v>
      </c>
      <c r="H91" s="90"/>
      <c r="J91" s="67"/>
    </row>
    <row r="92" spans="1:10" x14ac:dyDescent="0.25">
      <c r="A92" s="3"/>
      <c r="B92" s="9" t="s">
        <v>28</v>
      </c>
      <c r="C92" s="8">
        <f>(3.9+0.73)/2/A365</f>
        <v>4.963550600343053E-2</v>
      </c>
      <c r="D92" s="13" t="s">
        <v>293</v>
      </c>
      <c r="I92" s="51"/>
    </row>
    <row r="93" spans="1:10" x14ac:dyDescent="0.25">
      <c r="A93" s="3"/>
      <c r="B93" s="3" t="s">
        <v>9</v>
      </c>
      <c r="C93" s="7">
        <f>SUM(C90:C92)</f>
        <v>0.17463550600343053</v>
      </c>
      <c r="D93" s="9"/>
    </row>
    <row r="94" spans="1:10" x14ac:dyDescent="0.25">
      <c r="A94" s="3"/>
      <c r="B94" s="9"/>
      <c r="C94" s="8"/>
      <c r="D94" s="9"/>
    </row>
    <row r="95" spans="1:10" x14ac:dyDescent="0.25">
      <c r="A95" s="3" t="s">
        <v>78</v>
      </c>
      <c r="B95" s="9"/>
      <c r="C95" s="8"/>
      <c r="D95" s="9"/>
    </row>
    <row r="96" spans="1:10" x14ac:dyDescent="0.25">
      <c r="A96" s="3"/>
      <c r="B96" s="9" t="s">
        <v>24</v>
      </c>
      <c r="C96" s="8">
        <v>7.0000000000000007E-2</v>
      </c>
      <c r="D96" s="9" t="s">
        <v>51</v>
      </c>
    </row>
    <row r="97" spans="1:12" x14ac:dyDescent="0.25">
      <c r="A97" s="3"/>
      <c r="B97" s="9" t="s">
        <v>79</v>
      </c>
      <c r="C97" s="8">
        <v>1.4E-2</v>
      </c>
      <c r="D97" s="9" t="s">
        <v>80</v>
      </c>
    </row>
    <row r="98" spans="1:12" x14ac:dyDescent="0.25">
      <c r="A98" s="3"/>
      <c r="B98" s="9" t="s">
        <v>28</v>
      </c>
      <c r="C98" s="8">
        <f>1/A365</f>
        <v>2.1440823327615779E-2</v>
      </c>
      <c r="D98" s="13" t="s">
        <v>443</v>
      </c>
    </row>
    <row r="99" spans="1:12" x14ac:dyDescent="0.25">
      <c r="A99" s="3"/>
      <c r="B99" s="9" t="s">
        <v>81</v>
      </c>
      <c r="C99" s="129">
        <f>0.62%*$A$367</f>
        <v>3.8997999999999997E-3</v>
      </c>
      <c r="D99" s="13" t="s">
        <v>449</v>
      </c>
    </row>
    <row r="100" spans="1:12" x14ac:dyDescent="0.25">
      <c r="A100" s="3"/>
      <c r="B100" s="9" t="s">
        <v>36</v>
      </c>
      <c r="C100" s="8">
        <v>1.2099999999999999E-3</v>
      </c>
      <c r="D100" s="13" t="s">
        <v>254</v>
      </c>
    </row>
    <row r="101" spans="1:12" x14ac:dyDescent="0.25">
      <c r="A101" s="3"/>
      <c r="B101" s="3" t="s">
        <v>9</v>
      </c>
      <c r="C101" s="7">
        <f>SUM(C96:C100)</f>
        <v>0.11055062332761578</v>
      </c>
      <c r="D101" s="9"/>
    </row>
    <row r="102" spans="1:12" x14ac:dyDescent="0.25">
      <c r="A102" s="3"/>
      <c r="B102" s="9"/>
      <c r="C102" s="8"/>
      <c r="D102" s="9"/>
    </row>
    <row r="103" spans="1:12" x14ac:dyDescent="0.25">
      <c r="A103" s="3" t="s">
        <v>82</v>
      </c>
      <c r="C103" s="5"/>
    </row>
    <row r="104" spans="1:12" x14ac:dyDescent="0.25">
      <c r="A104" s="3"/>
      <c r="B104" s="4" t="s">
        <v>24</v>
      </c>
      <c r="C104" s="8">
        <v>0.06</v>
      </c>
    </row>
    <row r="105" spans="1:12" x14ac:dyDescent="0.25">
      <c r="A105" s="3"/>
      <c r="B105" s="9" t="s">
        <v>83</v>
      </c>
      <c r="C105" s="8">
        <v>5.0000000000000001E-3</v>
      </c>
      <c r="D105" s="9" t="s">
        <v>84</v>
      </c>
    </row>
    <row r="106" spans="1:12" x14ac:dyDescent="0.25">
      <c r="A106" s="3"/>
      <c r="B106" s="9" t="s">
        <v>28</v>
      </c>
      <c r="C106" s="8">
        <f>1/A365</f>
        <v>2.1440823327615779E-2</v>
      </c>
      <c r="D106" s="13" t="s">
        <v>245</v>
      </c>
    </row>
    <row r="107" spans="1:12" x14ac:dyDescent="0.25">
      <c r="A107" s="3"/>
      <c r="B107" s="13" t="s">
        <v>85</v>
      </c>
      <c r="C107" s="129">
        <f>0.03/A365</f>
        <v>6.4322469982847335E-4</v>
      </c>
      <c r="D107" s="13" t="s">
        <v>86</v>
      </c>
      <c r="L107" s="105"/>
    </row>
    <row r="108" spans="1:12" x14ac:dyDescent="0.25">
      <c r="A108" s="3"/>
      <c r="B108" s="3" t="s">
        <v>9</v>
      </c>
      <c r="C108" s="7">
        <f>SUM(C104:C107)</f>
        <v>8.7084048027444252E-2</v>
      </c>
      <c r="L108" s="106"/>
    </row>
    <row r="109" spans="1:12" x14ac:dyDescent="0.25">
      <c r="A109" s="3"/>
      <c r="C109" s="5"/>
      <c r="L109" s="105"/>
    </row>
    <row r="110" spans="1:12" x14ac:dyDescent="0.25">
      <c r="A110" s="3" t="s">
        <v>87</v>
      </c>
      <c r="C110" s="5"/>
      <c r="L110" s="105"/>
    </row>
    <row r="111" spans="1:12" x14ac:dyDescent="0.25">
      <c r="A111" s="3"/>
      <c r="B111" s="4" t="s">
        <v>24</v>
      </c>
      <c r="C111" s="129">
        <v>6.5000000000000002E-2</v>
      </c>
      <c r="D111" s="4" t="s">
        <v>88</v>
      </c>
      <c r="L111" s="106"/>
    </row>
    <row r="112" spans="1:12" x14ac:dyDescent="0.25">
      <c r="A112" s="3"/>
      <c r="B112" s="4" t="s">
        <v>83</v>
      </c>
      <c r="C112" s="8">
        <f>(1%+2.65%)/2</f>
        <v>1.8249999999999999E-2</v>
      </c>
      <c r="D112" s="9" t="s">
        <v>89</v>
      </c>
      <c r="L112" s="105"/>
    </row>
    <row r="113" spans="1:12" x14ac:dyDescent="0.25">
      <c r="A113" s="3"/>
      <c r="B113" s="4" t="s">
        <v>47</v>
      </c>
      <c r="C113" s="8">
        <f>6.47%*$A$367</f>
        <v>4.0696299999999998E-2</v>
      </c>
      <c r="D113" s="13" t="s">
        <v>450</v>
      </c>
      <c r="L113" s="107"/>
    </row>
    <row r="114" spans="1:12" x14ac:dyDescent="0.25">
      <c r="A114" s="3"/>
      <c r="B114" s="4" t="s">
        <v>28</v>
      </c>
      <c r="C114" s="8">
        <f>0.53/A365</f>
        <v>1.1363636363636364E-2</v>
      </c>
      <c r="D114" s="9" t="s">
        <v>90</v>
      </c>
      <c r="L114" s="108"/>
    </row>
    <row r="115" spans="1:12" x14ac:dyDescent="0.25">
      <c r="A115" s="3"/>
      <c r="B115" s="3" t="s">
        <v>9</v>
      </c>
      <c r="C115" s="7">
        <f>SUM(C111:C114)</f>
        <v>0.13530993636363636</v>
      </c>
      <c r="L115" s="51"/>
    </row>
    <row r="116" spans="1:12" x14ac:dyDescent="0.25">
      <c r="A116" s="3"/>
      <c r="C116" s="5"/>
      <c r="L116" s="109"/>
    </row>
    <row r="117" spans="1:12" x14ac:dyDescent="0.25">
      <c r="A117" s="3" t="s">
        <v>91</v>
      </c>
      <c r="C117" s="5"/>
    </row>
    <row r="118" spans="1:12" x14ac:dyDescent="0.25">
      <c r="A118" s="3"/>
      <c r="B118" s="4" t="s">
        <v>24</v>
      </c>
      <c r="C118" s="8">
        <v>0.06</v>
      </c>
      <c r="D118" s="4" t="s">
        <v>7</v>
      </c>
      <c r="L118" s="105"/>
    </row>
    <row r="119" spans="1:12" x14ac:dyDescent="0.25">
      <c r="A119" s="3"/>
      <c r="B119" s="4" t="s">
        <v>92</v>
      </c>
      <c r="C119" s="8">
        <v>1.4999999999999999E-2</v>
      </c>
      <c r="D119" s="4" t="s">
        <v>93</v>
      </c>
      <c r="L119" s="106"/>
    </row>
    <row r="120" spans="1:12" x14ac:dyDescent="0.25">
      <c r="A120" s="3"/>
      <c r="B120" s="9" t="s">
        <v>94</v>
      </c>
      <c r="C120" s="8">
        <f>0.08/A365</f>
        <v>1.7152658662092624E-3</v>
      </c>
      <c r="D120" s="4" t="s">
        <v>95</v>
      </c>
      <c r="L120" s="110"/>
    </row>
    <row r="121" spans="1:12" x14ac:dyDescent="0.25">
      <c r="A121" s="3"/>
      <c r="B121" s="9" t="s">
        <v>96</v>
      </c>
      <c r="C121" s="8">
        <f>0.04/A365</f>
        <v>8.576329331046312E-4</v>
      </c>
      <c r="D121" s="9" t="s">
        <v>97</v>
      </c>
      <c r="L121" s="108"/>
    </row>
    <row r="122" spans="1:12" x14ac:dyDescent="0.25">
      <c r="A122" s="3"/>
      <c r="B122" s="4" t="s">
        <v>28</v>
      </c>
      <c r="C122" s="8">
        <f>0.7/A365</f>
        <v>1.5008576329331046E-2</v>
      </c>
      <c r="D122" s="4" t="s">
        <v>98</v>
      </c>
      <c r="L122" s="105"/>
    </row>
    <row r="123" spans="1:12" x14ac:dyDescent="0.25">
      <c r="A123" s="3"/>
      <c r="B123" s="4" t="s">
        <v>99</v>
      </c>
      <c r="C123" s="8">
        <v>1.2999999999999999E-2</v>
      </c>
      <c r="D123" s="4" t="s">
        <v>7</v>
      </c>
      <c r="L123" s="51"/>
    </row>
    <row r="124" spans="1:12" x14ac:dyDescent="0.25">
      <c r="A124" s="3"/>
      <c r="B124" s="3" t="s">
        <v>9</v>
      </c>
      <c r="C124" s="7">
        <f>SUM(C118:C123)</f>
        <v>0.10558147512864494</v>
      </c>
      <c r="L124" s="110"/>
    </row>
    <row r="125" spans="1:12" x14ac:dyDescent="0.25">
      <c r="A125" s="3"/>
      <c r="C125" s="5"/>
    </row>
    <row r="126" spans="1:12" x14ac:dyDescent="0.25">
      <c r="A126" s="3" t="s">
        <v>100</v>
      </c>
      <c r="C126" s="5"/>
      <c r="L126" s="108"/>
    </row>
    <row r="127" spans="1:12" x14ac:dyDescent="0.25">
      <c r="A127" s="3"/>
      <c r="B127" s="4" t="s">
        <v>24</v>
      </c>
      <c r="C127" s="8">
        <v>0.03</v>
      </c>
      <c r="D127" s="4" t="s">
        <v>101</v>
      </c>
      <c r="L127" s="111"/>
    </row>
    <row r="128" spans="1:12" x14ac:dyDescent="0.25">
      <c r="A128" s="3"/>
      <c r="B128" s="9" t="s">
        <v>28</v>
      </c>
      <c r="C128" s="8">
        <f>0.85/A365</f>
        <v>1.8224699828473412E-2</v>
      </c>
      <c r="D128" s="9" t="s">
        <v>102</v>
      </c>
    </row>
    <row r="129" spans="1:12" x14ac:dyDescent="0.25">
      <c r="A129" s="3"/>
      <c r="B129" s="9" t="s">
        <v>81</v>
      </c>
      <c r="C129" s="8">
        <f>1.15/A365</f>
        <v>2.4656946826758144E-2</v>
      </c>
      <c r="D129" s="9" t="s">
        <v>103</v>
      </c>
      <c r="L129" s="109"/>
    </row>
    <row r="130" spans="1:12" x14ac:dyDescent="0.25">
      <c r="A130" s="3"/>
      <c r="B130" s="3" t="s">
        <v>9</v>
      </c>
      <c r="C130" s="7">
        <f>SUM(C127:C129)</f>
        <v>7.2881646655231558E-2</v>
      </c>
      <c r="F130" s="51"/>
    </row>
    <row r="131" spans="1:12" x14ac:dyDescent="0.25">
      <c r="A131" s="3"/>
      <c r="C131" s="5"/>
      <c r="L131" s="108"/>
    </row>
    <row r="132" spans="1:12" x14ac:dyDescent="0.25">
      <c r="A132" s="3" t="s">
        <v>104</v>
      </c>
      <c r="C132" s="5"/>
    </row>
    <row r="133" spans="1:12" x14ac:dyDescent="0.25">
      <c r="A133" s="3"/>
      <c r="B133" s="4" t="s">
        <v>105</v>
      </c>
      <c r="C133" s="129">
        <v>0.05</v>
      </c>
      <c r="D133" s="4" t="s">
        <v>35</v>
      </c>
      <c r="L133" s="109"/>
    </row>
    <row r="134" spans="1:12" x14ac:dyDescent="0.25">
      <c r="A134" s="3"/>
      <c r="B134" s="4" t="s">
        <v>190</v>
      </c>
      <c r="C134" s="8">
        <f>0.45/A365</f>
        <v>9.6483704974271011E-3</v>
      </c>
      <c r="D134" s="9" t="s">
        <v>107</v>
      </c>
    </row>
    <row r="135" spans="1:12" x14ac:dyDescent="0.25">
      <c r="A135" s="3"/>
      <c r="B135" s="4" t="s">
        <v>108</v>
      </c>
      <c r="C135" s="8">
        <f>1.51%*$A$367</f>
        <v>9.4979000000000001E-3</v>
      </c>
      <c r="D135" s="4" t="s">
        <v>246</v>
      </c>
      <c r="L135" s="112"/>
    </row>
    <row r="136" spans="1:12" ht="15.75" customHeight="1" x14ac:dyDescent="0.25">
      <c r="A136" s="3"/>
      <c r="B136" s="4" t="s">
        <v>109</v>
      </c>
      <c r="C136" s="8">
        <f>0.7%*$A$367</f>
        <v>4.4029999999999998E-3</v>
      </c>
      <c r="D136" s="4" t="s">
        <v>247</v>
      </c>
    </row>
    <row r="137" spans="1:12" x14ac:dyDescent="0.25">
      <c r="A137" s="3"/>
      <c r="B137" s="3" t="s">
        <v>9</v>
      </c>
      <c r="C137" s="7">
        <f>SUM(C133:C136)</f>
        <v>7.3549270497427113E-2</v>
      </c>
    </row>
    <row r="138" spans="1:12" x14ac:dyDescent="0.25">
      <c r="A138" s="3"/>
      <c r="C138" s="5"/>
    </row>
    <row r="139" spans="1:12" x14ac:dyDescent="0.25">
      <c r="A139" s="3" t="s">
        <v>110</v>
      </c>
      <c r="C139" s="5"/>
    </row>
    <row r="140" spans="1:12" x14ac:dyDescent="0.25">
      <c r="A140" s="3"/>
      <c r="B140" s="4" t="s">
        <v>24</v>
      </c>
      <c r="C140" s="8">
        <v>0.06</v>
      </c>
      <c r="D140" s="4" t="s">
        <v>111</v>
      </c>
      <c r="I140" s="66"/>
    </row>
    <row r="141" spans="1:12" x14ac:dyDescent="0.25">
      <c r="A141" s="3"/>
      <c r="B141" s="4" t="s">
        <v>112</v>
      </c>
      <c r="C141" s="8">
        <f>4/A365/2</f>
        <v>4.2881646655231559E-2</v>
      </c>
      <c r="D141" s="9" t="s">
        <v>113</v>
      </c>
      <c r="I141" s="71"/>
    </row>
    <row r="142" spans="1:12" x14ac:dyDescent="0.25">
      <c r="A142" s="3"/>
      <c r="B142" s="4" t="s">
        <v>34</v>
      </c>
      <c r="C142" s="8">
        <f>0.25/A365</f>
        <v>5.3602058319039449E-3</v>
      </c>
      <c r="D142" s="4" t="s">
        <v>248</v>
      </c>
    </row>
    <row r="143" spans="1:12" x14ac:dyDescent="0.25">
      <c r="A143" s="3"/>
      <c r="B143" s="9" t="s">
        <v>114</v>
      </c>
      <c r="C143" s="8">
        <f>0.75/A365</f>
        <v>1.6080617495711835E-2</v>
      </c>
      <c r="D143" s="4" t="s">
        <v>249</v>
      </c>
      <c r="H143" s="89"/>
    </row>
    <row r="144" spans="1:12" x14ac:dyDescent="0.25">
      <c r="A144" s="3"/>
      <c r="B144" s="9" t="s">
        <v>15</v>
      </c>
      <c r="C144" s="8">
        <f>0.11/A365</f>
        <v>2.3584905660377358E-3</v>
      </c>
      <c r="D144" s="13" t="s">
        <v>297</v>
      </c>
      <c r="H144" s="90"/>
    </row>
    <row r="145" spans="1:10" x14ac:dyDescent="0.25">
      <c r="A145" s="3"/>
      <c r="B145" s="3" t="s">
        <v>9</v>
      </c>
      <c r="C145" s="7">
        <f>SUM(C140:C144)</f>
        <v>0.12668096054888509</v>
      </c>
    </row>
    <row r="146" spans="1:10" x14ac:dyDescent="0.25">
      <c r="A146" s="3"/>
      <c r="C146" s="5"/>
    </row>
    <row r="147" spans="1:10" x14ac:dyDescent="0.25">
      <c r="A147" s="3" t="s">
        <v>115</v>
      </c>
      <c r="C147" s="5"/>
    </row>
    <row r="148" spans="1:10" x14ac:dyDescent="0.25">
      <c r="A148" s="3"/>
      <c r="B148" s="4" t="s">
        <v>24</v>
      </c>
      <c r="C148" s="8">
        <v>6.25E-2</v>
      </c>
      <c r="D148" s="4" t="s">
        <v>116</v>
      </c>
    </row>
    <row r="149" spans="1:10" x14ac:dyDescent="0.25">
      <c r="A149" s="3"/>
      <c r="B149" s="4" t="s">
        <v>28</v>
      </c>
      <c r="C149" s="8">
        <f>1.25/A365</f>
        <v>2.6801029159519724E-2</v>
      </c>
      <c r="D149" s="13" t="s">
        <v>521</v>
      </c>
    </row>
    <row r="150" spans="1:10" x14ac:dyDescent="0.25">
      <c r="A150" s="3"/>
      <c r="B150" s="3" t="s">
        <v>9</v>
      </c>
      <c r="C150" s="7">
        <f>SUM(C148:C149)</f>
        <v>8.9301029159519721E-2</v>
      </c>
    </row>
    <row r="151" spans="1:10" x14ac:dyDescent="0.25">
      <c r="A151" s="3"/>
      <c r="C151" s="5"/>
    </row>
    <row r="152" spans="1:10" x14ac:dyDescent="0.25">
      <c r="A152" s="3" t="s">
        <v>118</v>
      </c>
      <c r="C152" s="5"/>
    </row>
    <row r="153" spans="1:10" x14ac:dyDescent="0.25">
      <c r="A153" s="3"/>
      <c r="B153" s="4" t="s">
        <v>24</v>
      </c>
      <c r="C153" s="8">
        <v>0.06</v>
      </c>
      <c r="D153" s="4" t="s">
        <v>116</v>
      </c>
    </row>
    <row r="154" spans="1:10" x14ac:dyDescent="0.25">
      <c r="A154" s="3"/>
      <c r="B154" s="4" t="s">
        <v>119</v>
      </c>
      <c r="C154" s="8">
        <f>0.19/A365</f>
        <v>4.0737564322469982E-3</v>
      </c>
      <c r="D154" s="4" t="s">
        <v>120</v>
      </c>
    </row>
    <row r="155" spans="1:10" x14ac:dyDescent="0.25">
      <c r="A155" s="3"/>
      <c r="B155" s="4" t="s">
        <v>121</v>
      </c>
      <c r="C155" s="8">
        <f>0.675/A365</f>
        <v>1.4472555746140653E-2</v>
      </c>
      <c r="D155" s="4" t="s">
        <v>451</v>
      </c>
    </row>
    <row r="156" spans="1:10" x14ac:dyDescent="0.25">
      <c r="A156" s="3"/>
      <c r="B156" s="4" t="s">
        <v>309</v>
      </c>
      <c r="C156" s="8">
        <f>0.68%*A367</f>
        <v>4.2772000000000001E-3</v>
      </c>
      <c r="D156" s="4" t="s">
        <v>520</v>
      </c>
    </row>
    <row r="157" spans="1:10" x14ac:dyDescent="0.25">
      <c r="A157" s="3"/>
      <c r="B157" s="3" t="s">
        <v>9</v>
      </c>
      <c r="C157" s="7">
        <f>SUM(C153:C156)</f>
        <v>8.282351217838764E-2</v>
      </c>
    </row>
    <row r="158" spans="1:10" x14ac:dyDescent="0.25">
      <c r="A158" s="3"/>
      <c r="C158" s="5"/>
    </row>
    <row r="159" spans="1:10" x14ac:dyDescent="0.25">
      <c r="A159" s="3" t="s">
        <v>122</v>
      </c>
      <c r="C159" s="5"/>
    </row>
    <row r="160" spans="1:10" x14ac:dyDescent="0.25">
      <c r="A160" s="3"/>
      <c r="B160" s="4" t="s">
        <v>24</v>
      </c>
      <c r="C160" s="8">
        <v>6.8750000000000006E-2</v>
      </c>
      <c r="D160" s="4" t="s">
        <v>123</v>
      </c>
      <c r="H160" s="68"/>
      <c r="J160" s="52"/>
    </row>
    <row r="161" spans="1:11" x14ac:dyDescent="0.25">
      <c r="A161" s="3"/>
      <c r="B161" s="4" t="s">
        <v>65</v>
      </c>
      <c r="C161" s="8">
        <f>(0.75%+0.9%)/2</f>
        <v>8.2500000000000004E-3</v>
      </c>
      <c r="D161" s="9" t="s">
        <v>124</v>
      </c>
    </row>
    <row r="162" spans="1:11" x14ac:dyDescent="0.25">
      <c r="A162" s="3"/>
      <c r="B162" s="14">
        <v>911</v>
      </c>
      <c r="C162" s="8">
        <f>0.78/A365</f>
        <v>1.6723842195540309E-2</v>
      </c>
      <c r="D162" s="4" t="s">
        <v>298</v>
      </c>
    </row>
    <row r="163" spans="1:11" x14ac:dyDescent="0.25">
      <c r="A163" s="3"/>
      <c r="B163" s="9" t="s">
        <v>125</v>
      </c>
      <c r="C163" s="8">
        <f>0.08/A365</f>
        <v>1.7152658662092624E-3</v>
      </c>
      <c r="D163" s="13" t="s">
        <v>522</v>
      </c>
    </row>
    <row r="164" spans="1:11" x14ac:dyDescent="0.25">
      <c r="A164" s="3"/>
      <c r="B164" s="3" t="s">
        <v>9</v>
      </c>
      <c r="C164" s="7">
        <f>SUM(C160:C163)</f>
        <v>9.5439108061749586E-2</v>
      </c>
    </row>
    <row r="165" spans="1:11" x14ac:dyDescent="0.25">
      <c r="A165" s="3"/>
      <c r="C165" s="5"/>
    </row>
    <row r="166" spans="1:11" x14ac:dyDescent="0.25">
      <c r="A166" s="3" t="s">
        <v>126</v>
      </c>
      <c r="C166" s="5"/>
    </row>
    <row r="167" spans="1:11" x14ac:dyDescent="0.25">
      <c r="A167" s="3"/>
      <c r="B167" s="4" t="s">
        <v>24</v>
      </c>
      <c r="C167" s="8">
        <v>7.0000000000000007E-2</v>
      </c>
      <c r="D167" s="4" t="s">
        <v>7</v>
      </c>
    </row>
    <row r="168" spans="1:11" x14ac:dyDescent="0.25">
      <c r="A168" s="3"/>
      <c r="B168" s="4" t="s">
        <v>28</v>
      </c>
      <c r="C168" s="8">
        <f>1/A365</f>
        <v>2.1440823327615779E-2</v>
      </c>
      <c r="D168" s="4" t="s">
        <v>127</v>
      </c>
    </row>
    <row r="169" spans="1:11" x14ac:dyDescent="0.25">
      <c r="A169" s="3"/>
      <c r="B169" s="3" t="s">
        <v>9</v>
      </c>
      <c r="C169" s="7">
        <f>SUM(C167:C168)</f>
        <v>9.1440823327615786E-2</v>
      </c>
    </row>
    <row r="170" spans="1:11" x14ac:dyDescent="0.25">
      <c r="A170" s="3"/>
      <c r="C170" s="5"/>
    </row>
    <row r="171" spans="1:11" x14ac:dyDescent="0.25">
      <c r="A171" s="3" t="s">
        <v>128</v>
      </c>
      <c r="C171" s="5"/>
    </row>
    <row r="172" spans="1:11" x14ac:dyDescent="0.25">
      <c r="A172" s="3"/>
      <c r="B172" s="4" t="s">
        <v>24</v>
      </c>
      <c r="C172" s="8">
        <v>4.2250000000000003E-2</v>
      </c>
      <c r="D172" s="4" t="s">
        <v>51</v>
      </c>
      <c r="I172" s="68"/>
      <c r="J172" s="117"/>
      <c r="K172" s="52"/>
    </row>
    <row r="173" spans="1:11" x14ac:dyDescent="0.25">
      <c r="A173" s="3"/>
      <c r="B173" s="4" t="s">
        <v>25</v>
      </c>
      <c r="C173" s="8">
        <f>(3.5%+4.625%)/2</f>
        <v>4.0625000000000001E-2</v>
      </c>
      <c r="D173" s="13" t="s">
        <v>452</v>
      </c>
    </row>
    <row r="174" spans="1:11" x14ac:dyDescent="0.25">
      <c r="A174" s="3"/>
      <c r="B174" s="9" t="s">
        <v>129</v>
      </c>
      <c r="C174" s="8">
        <v>6.5000000000000002E-2</v>
      </c>
      <c r="D174" s="9" t="s">
        <v>130</v>
      </c>
    </row>
    <row r="175" spans="1:11" x14ac:dyDescent="0.25">
      <c r="A175" s="3"/>
      <c r="B175" s="3" t="s">
        <v>9</v>
      </c>
      <c r="C175" s="7">
        <f>SUM(C172:C174)</f>
        <v>0.14787500000000001</v>
      </c>
    </row>
    <row r="176" spans="1:11" x14ac:dyDescent="0.25">
      <c r="A176" s="3"/>
      <c r="C176" s="5"/>
    </row>
    <row r="177" spans="1:10" x14ac:dyDescent="0.25">
      <c r="A177" s="3" t="s">
        <v>131</v>
      </c>
      <c r="C177" s="5"/>
    </row>
    <row r="178" spans="1:10" x14ac:dyDescent="0.25">
      <c r="A178" s="3"/>
      <c r="B178" s="4" t="s">
        <v>132</v>
      </c>
      <c r="C178" s="8">
        <v>3.7499999999999999E-2</v>
      </c>
      <c r="D178" s="4" t="s">
        <v>7</v>
      </c>
    </row>
    <row r="179" spans="1:10" x14ac:dyDescent="0.25">
      <c r="A179" s="3"/>
      <c r="B179" s="4" t="s">
        <v>133</v>
      </c>
      <c r="C179" s="8">
        <f>1/A365</f>
        <v>2.1440823327615779E-2</v>
      </c>
      <c r="D179" s="4" t="s">
        <v>134</v>
      </c>
    </row>
    <row r="180" spans="1:10" x14ac:dyDescent="0.25">
      <c r="A180" s="3"/>
      <c r="B180" s="4" t="s">
        <v>135</v>
      </c>
      <c r="C180" s="8">
        <f>0.1/A365</f>
        <v>2.1440823327615781E-3</v>
      </c>
      <c r="D180" s="4" t="s">
        <v>136</v>
      </c>
    </row>
    <row r="181" spans="1:10" x14ac:dyDescent="0.25">
      <c r="A181" s="3"/>
      <c r="B181" s="3" t="s">
        <v>9</v>
      </c>
      <c r="C181" s="7">
        <f>SUM(C178:C180)</f>
        <v>6.1084905660377359E-2</v>
      </c>
    </row>
    <row r="182" spans="1:10" x14ac:dyDescent="0.25">
      <c r="A182" s="3"/>
      <c r="C182" s="5"/>
    </row>
    <row r="183" spans="1:10" x14ac:dyDescent="0.25">
      <c r="A183" s="3" t="s">
        <v>137</v>
      </c>
      <c r="C183" s="5"/>
    </row>
    <row r="184" spans="1:10" x14ac:dyDescent="0.25">
      <c r="A184" s="3"/>
      <c r="B184" s="4" t="s">
        <v>24</v>
      </c>
      <c r="C184" s="8">
        <v>5.5E-2</v>
      </c>
      <c r="D184" s="4" t="s">
        <v>138</v>
      </c>
      <c r="J184" s="66"/>
    </row>
    <row r="185" spans="1:10" x14ac:dyDescent="0.25">
      <c r="A185" s="3"/>
      <c r="B185" s="4" t="s">
        <v>65</v>
      </c>
      <c r="C185" s="8">
        <v>1.4999999999999999E-2</v>
      </c>
      <c r="D185" s="4" t="s">
        <v>139</v>
      </c>
    </row>
    <row r="186" spans="1:10" x14ac:dyDescent="0.25">
      <c r="A186" s="3"/>
      <c r="B186" s="4" t="s">
        <v>140</v>
      </c>
      <c r="C186" s="8">
        <f>(6%+6.25%)/2</f>
        <v>6.1249999999999999E-2</v>
      </c>
      <c r="D186" s="15" t="s">
        <v>523</v>
      </c>
    </row>
    <row r="187" spans="1:10" x14ac:dyDescent="0.25">
      <c r="A187" s="3"/>
      <c r="B187" s="4" t="s">
        <v>81</v>
      </c>
      <c r="C187" s="8">
        <f>6.95%*$A$367</f>
        <v>4.3715500000000004E-2</v>
      </c>
      <c r="D187" s="4" t="s">
        <v>141</v>
      </c>
      <c r="I187" s="118"/>
    </row>
    <row r="188" spans="1:10" x14ac:dyDescent="0.25">
      <c r="A188" s="3"/>
      <c r="B188" s="9" t="s">
        <v>28</v>
      </c>
      <c r="C188" s="8">
        <f>0.45/A365</f>
        <v>9.6483704974271011E-3</v>
      </c>
      <c r="D188" s="13" t="s">
        <v>107</v>
      </c>
    </row>
    <row r="189" spans="1:10" x14ac:dyDescent="0.25">
      <c r="A189" s="3"/>
      <c r="B189" s="4" t="s">
        <v>142</v>
      </c>
      <c r="C189" s="8">
        <f>0.03/A365</f>
        <v>6.4322469982847335E-4</v>
      </c>
      <c r="D189" s="13" t="s">
        <v>299</v>
      </c>
    </row>
    <row r="190" spans="1:10" x14ac:dyDescent="0.25">
      <c r="A190" s="3"/>
      <c r="B190" s="3" t="s">
        <v>9</v>
      </c>
      <c r="C190" s="7">
        <f>SUM(C184:C189)</f>
        <v>0.18525709519725556</v>
      </c>
    </row>
    <row r="191" spans="1:10" x14ac:dyDescent="0.25">
      <c r="A191" s="3"/>
      <c r="C191" s="5"/>
    </row>
    <row r="192" spans="1:10" x14ac:dyDescent="0.25">
      <c r="A192" s="3" t="s">
        <v>143</v>
      </c>
      <c r="C192" s="5"/>
    </row>
    <row r="193" spans="1:4" x14ac:dyDescent="0.25">
      <c r="A193" s="3"/>
      <c r="B193" s="4" t="s">
        <v>144</v>
      </c>
      <c r="C193" s="8">
        <f>0.75/A365</f>
        <v>1.6080617495711835E-2</v>
      </c>
      <c r="D193" s="4" t="s">
        <v>145</v>
      </c>
    </row>
    <row r="194" spans="1:4" x14ac:dyDescent="0.25">
      <c r="A194" s="3"/>
      <c r="B194" s="4" t="s">
        <v>52</v>
      </c>
      <c r="C194" s="8">
        <f>0.125/A365</f>
        <v>2.6801029159519724E-3</v>
      </c>
      <c r="D194" s="4" t="s">
        <v>311</v>
      </c>
    </row>
    <row r="195" spans="1:4" x14ac:dyDescent="0.25">
      <c r="A195" s="3"/>
      <c r="B195" s="4" t="s">
        <v>146</v>
      </c>
      <c r="C195" s="8">
        <f>0.03/A365</f>
        <v>6.4322469982847335E-4</v>
      </c>
      <c r="D195" s="13" t="s">
        <v>301</v>
      </c>
    </row>
    <row r="196" spans="1:4" x14ac:dyDescent="0.25">
      <c r="A196" s="3"/>
      <c r="B196" s="4" t="s">
        <v>147</v>
      </c>
      <c r="C196" s="8">
        <f>0.01%*$A$367</f>
        <v>6.2899999999999997E-5</v>
      </c>
      <c r="D196" s="13" t="s">
        <v>300</v>
      </c>
    </row>
    <row r="197" spans="1:4" x14ac:dyDescent="0.25">
      <c r="A197" s="3"/>
      <c r="B197" s="3" t="s">
        <v>9</v>
      </c>
      <c r="C197" s="7">
        <f>SUM(C193:C196)</f>
        <v>1.9466845111492284E-2</v>
      </c>
    </row>
    <row r="198" spans="1:4" x14ac:dyDescent="0.25">
      <c r="A198" s="3"/>
      <c r="C198" s="5"/>
    </row>
    <row r="199" spans="1:4" x14ac:dyDescent="0.25">
      <c r="A199" s="3" t="s">
        <v>148</v>
      </c>
      <c r="C199" s="5"/>
    </row>
    <row r="200" spans="1:4" x14ac:dyDescent="0.25">
      <c r="A200" s="3"/>
      <c r="B200" s="4" t="s">
        <v>149</v>
      </c>
      <c r="C200" s="8">
        <v>7.0000000000000007E-2</v>
      </c>
      <c r="D200" s="4" t="s">
        <v>7</v>
      </c>
    </row>
    <row r="201" spans="1:4" x14ac:dyDescent="0.25">
      <c r="A201" s="3"/>
      <c r="B201" s="4" t="s">
        <v>106</v>
      </c>
      <c r="C201" s="8">
        <f>0.57/A365</f>
        <v>1.2221269296740995E-2</v>
      </c>
      <c r="D201" s="9" t="s">
        <v>150</v>
      </c>
    </row>
    <row r="202" spans="1:4" x14ac:dyDescent="0.25">
      <c r="A202" s="3"/>
      <c r="B202" s="3" t="s">
        <v>9</v>
      </c>
      <c r="C202" s="7">
        <f>SUM(C200:C201)</f>
        <v>8.2221269296741006E-2</v>
      </c>
    </row>
    <row r="203" spans="1:4" x14ac:dyDescent="0.25">
      <c r="A203" s="3"/>
      <c r="C203" s="5"/>
    </row>
    <row r="204" spans="1:4" x14ac:dyDescent="0.25">
      <c r="A204" s="3" t="s">
        <v>151</v>
      </c>
      <c r="C204" s="5"/>
    </row>
    <row r="205" spans="1:4" x14ac:dyDescent="0.25">
      <c r="A205" s="3"/>
      <c r="B205" s="4" t="s">
        <v>24</v>
      </c>
      <c r="C205" s="8">
        <v>7.0000000000000007E-2</v>
      </c>
    </row>
    <row r="206" spans="1:4" x14ac:dyDescent="0.25">
      <c r="A206" s="3"/>
      <c r="B206" s="4" t="s">
        <v>28</v>
      </c>
      <c r="C206" s="8">
        <f>0.9/A365</f>
        <v>1.9296740994854202E-2</v>
      </c>
      <c r="D206" s="4" t="s">
        <v>454</v>
      </c>
    </row>
    <row r="207" spans="1:4" x14ac:dyDescent="0.25">
      <c r="A207" s="3"/>
      <c r="B207" s="3" t="s">
        <v>9</v>
      </c>
      <c r="C207" s="7">
        <f>SUM(C205:C206)</f>
        <v>8.9296740994854212E-2</v>
      </c>
    </row>
    <row r="208" spans="1:4" x14ac:dyDescent="0.25">
      <c r="A208" s="3"/>
      <c r="C208" s="5"/>
    </row>
    <row r="209" spans="1:13" x14ac:dyDescent="0.25">
      <c r="A209" s="3" t="s">
        <v>152</v>
      </c>
      <c r="C209" s="5"/>
    </row>
    <row r="210" spans="1:13" x14ac:dyDescent="0.25">
      <c r="A210" s="3"/>
      <c r="B210" s="4" t="s">
        <v>153</v>
      </c>
      <c r="C210" s="8">
        <v>5.1249999999999997E-2</v>
      </c>
      <c r="D210" s="4" t="s">
        <v>250</v>
      </c>
    </row>
    <row r="211" spans="1:13" x14ac:dyDescent="0.25">
      <c r="A211" s="3"/>
      <c r="B211" s="9" t="s">
        <v>154</v>
      </c>
      <c r="C211" s="8">
        <v>2.6200000000000001E-2</v>
      </c>
      <c r="D211" s="13" t="s">
        <v>524</v>
      </c>
      <c r="K211" s="52"/>
      <c r="L211" s="52"/>
    </row>
    <row r="212" spans="1:13" x14ac:dyDescent="0.25">
      <c r="A212" s="3"/>
      <c r="B212" s="4" t="s">
        <v>28</v>
      </c>
      <c r="C212" s="8">
        <f>0.51/A365</f>
        <v>1.0934819897084048E-2</v>
      </c>
      <c r="D212" s="4" t="s">
        <v>525</v>
      </c>
      <c r="K212" s="52"/>
      <c r="L212" s="52"/>
    </row>
    <row r="213" spans="1:13" x14ac:dyDescent="0.25">
      <c r="A213" s="3"/>
      <c r="B213" s="4" t="s">
        <v>155</v>
      </c>
      <c r="C213" s="8">
        <f>0.33%*A367</f>
        <v>2.0757000000000002E-3</v>
      </c>
      <c r="D213" s="4" t="s">
        <v>302</v>
      </c>
      <c r="K213" s="117"/>
      <c r="L213" s="52"/>
      <c r="M213" s="117"/>
    </row>
    <row r="214" spans="1:13" x14ac:dyDescent="0.25">
      <c r="A214" s="3"/>
      <c r="B214" s="4" t="s">
        <v>81</v>
      </c>
      <c r="C214" s="8">
        <f>3.45%*$A$367</f>
        <v>2.1700500000000001E-2</v>
      </c>
      <c r="D214" s="13" t="s">
        <v>251</v>
      </c>
      <c r="K214" s="52"/>
      <c r="L214" s="52"/>
      <c r="M214" s="52"/>
    </row>
    <row r="215" spans="1:13" x14ac:dyDescent="0.25">
      <c r="A215" s="3"/>
      <c r="B215" s="3" t="s">
        <v>9</v>
      </c>
      <c r="C215" s="7">
        <f>SUM(C210:C214)</f>
        <v>0.11216101989708403</v>
      </c>
      <c r="K215" s="117"/>
      <c r="L215" s="52"/>
      <c r="M215" s="117"/>
    </row>
    <row r="216" spans="1:13" x14ac:dyDescent="0.25">
      <c r="A216" s="3"/>
      <c r="C216" s="16"/>
      <c r="M216" s="52"/>
    </row>
    <row r="217" spans="1:13" x14ac:dyDescent="0.25">
      <c r="A217" s="3"/>
      <c r="C217" s="5"/>
    </row>
    <row r="218" spans="1:13" x14ac:dyDescent="0.25">
      <c r="A218" s="3" t="s">
        <v>156</v>
      </c>
      <c r="C218" s="5"/>
    </row>
    <row r="219" spans="1:13" x14ac:dyDescent="0.25">
      <c r="A219" s="3"/>
      <c r="B219" s="4" t="s">
        <v>24</v>
      </c>
      <c r="C219" s="8">
        <v>0.04</v>
      </c>
      <c r="D219" s="4" t="s">
        <v>157</v>
      </c>
      <c r="I219" s="66"/>
    </row>
    <row r="220" spans="1:13" x14ac:dyDescent="0.25">
      <c r="A220" s="3"/>
      <c r="B220" s="4" t="s">
        <v>25</v>
      </c>
      <c r="C220" s="8">
        <f>(4%+4.5%)/2</f>
        <v>4.2499999999999996E-2</v>
      </c>
      <c r="D220" s="13" t="s">
        <v>303</v>
      </c>
      <c r="I220" s="68"/>
    </row>
    <row r="221" spans="1:13" x14ac:dyDescent="0.25">
      <c r="A221" s="3"/>
      <c r="B221" s="4" t="s">
        <v>158</v>
      </c>
      <c r="C221" s="8">
        <f>0.375%/2</f>
        <v>1.8749999999999999E-3</v>
      </c>
      <c r="D221" s="13" t="s">
        <v>304</v>
      </c>
    </row>
    <row r="222" spans="1:13" x14ac:dyDescent="0.25">
      <c r="A222" s="3"/>
      <c r="B222" s="4" t="s">
        <v>159</v>
      </c>
      <c r="C222" s="8">
        <v>2.9000000000000001E-2</v>
      </c>
      <c r="D222" s="4" t="s">
        <v>160</v>
      </c>
    </row>
    <row r="223" spans="1:13" x14ac:dyDescent="0.25">
      <c r="A223" s="3"/>
      <c r="B223" s="4" t="s">
        <v>161</v>
      </c>
      <c r="C223" s="8">
        <f>(0.721%)/2</f>
        <v>3.6049999999999997E-3</v>
      </c>
      <c r="D223" s="4" t="s">
        <v>421</v>
      </c>
      <c r="J223" s="52"/>
    </row>
    <row r="224" spans="1:13" x14ac:dyDescent="0.25">
      <c r="A224" s="3"/>
      <c r="B224" s="4" t="s">
        <v>162</v>
      </c>
      <c r="C224" s="8">
        <f>((0.84*0.0235)+0.01)/2</f>
        <v>1.4870000000000001E-2</v>
      </c>
      <c r="D224" s="9" t="s">
        <v>163</v>
      </c>
      <c r="J224" s="53"/>
    </row>
    <row r="225" spans="1:10" x14ac:dyDescent="0.25">
      <c r="A225" s="3"/>
      <c r="B225" s="4" t="s">
        <v>119</v>
      </c>
      <c r="C225" s="8">
        <f>1.2/A365</f>
        <v>2.5728987993138934E-2</v>
      </c>
      <c r="D225" s="4" t="s">
        <v>164</v>
      </c>
      <c r="J225" s="52"/>
    </row>
    <row r="226" spans="1:10" x14ac:dyDescent="0.25">
      <c r="A226" s="3"/>
      <c r="B226" s="4" t="s">
        <v>165</v>
      </c>
      <c r="C226" s="8">
        <f>0.3/A365</f>
        <v>6.4322469982847335E-3</v>
      </c>
      <c r="D226" s="4" t="s">
        <v>166</v>
      </c>
    </row>
    <row r="227" spans="1:10" x14ac:dyDescent="0.25">
      <c r="A227" s="3"/>
      <c r="B227" s="9" t="s">
        <v>167</v>
      </c>
      <c r="C227" s="8">
        <v>1.4999999999999999E-2</v>
      </c>
      <c r="D227" s="13" t="s">
        <v>422</v>
      </c>
    </row>
    <row r="228" spans="1:10" x14ac:dyDescent="0.25">
      <c r="A228" s="3"/>
      <c r="B228" s="3" t="s">
        <v>9</v>
      </c>
      <c r="C228" s="7">
        <f>SUM(C219:C227)</f>
        <v>0.17901123499142368</v>
      </c>
    </row>
    <row r="229" spans="1:10" x14ac:dyDescent="0.25">
      <c r="A229" s="3"/>
      <c r="C229" s="5"/>
    </row>
    <row r="230" spans="1:10" x14ac:dyDescent="0.25">
      <c r="A230" s="3" t="s">
        <v>168</v>
      </c>
      <c r="C230" s="5"/>
    </row>
    <row r="231" spans="1:10" x14ac:dyDescent="0.25">
      <c r="A231" s="3"/>
      <c r="B231" s="4" t="s">
        <v>24</v>
      </c>
      <c r="C231" s="8">
        <v>7.0000000000000007E-2</v>
      </c>
      <c r="D231" s="4" t="s">
        <v>7</v>
      </c>
    </row>
    <row r="232" spans="1:10" x14ac:dyDescent="0.25">
      <c r="A232" s="3"/>
      <c r="B232" s="4" t="s">
        <v>28</v>
      </c>
      <c r="C232" s="8">
        <f>0.6/A365</f>
        <v>1.2864493996569467E-2</v>
      </c>
      <c r="D232" s="9" t="s">
        <v>424</v>
      </c>
    </row>
    <row r="233" spans="1:10" x14ac:dyDescent="0.25">
      <c r="A233" s="3"/>
      <c r="B233" s="4" t="s">
        <v>169</v>
      </c>
      <c r="C233" s="8">
        <f>0.14/A365</f>
        <v>3.0017152658662095E-3</v>
      </c>
      <c r="D233" s="13" t="s">
        <v>455</v>
      </c>
    </row>
    <row r="234" spans="1:10" x14ac:dyDescent="0.25">
      <c r="A234" s="3"/>
      <c r="B234" s="3" t="s">
        <v>9</v>
      </c>
      <c r="C234" s="7">
        <f>SUM(C231:C233)</f>
        <v>8.5866209262435683E-2</v>
      </c>
    </row>
    <row r="235" spans="1:10" x14ac:dyDescent="0.25">
      <c r="A235" s="3"/>
      <c r="C235" s="5"/>
    </row>
    <row r="236" spans="1:10" x14ac:dyDescent="0.25">
      <c r="A236" s="3" t="s">
        <v>171</v>
      </c>
      <c r="C236" s="5"/>
    </row>
    <row r="237" spans="1:10" x14ac:dyDescent="0.25">
      <c r="A237" s="3"/>
      <c r="B237" s="4" t="s">
        <v>24</v>
      </c>
      <c r="C237" s="8">
        <v>0.05</v>
      </c>
      <c r="D237" s="4" t="s">
        <v>51</v>
      </c>
    </row>
    <row r="238" spans="1:10" x14ac:dyDescent="0.25">
      <c r="A238" s="3"/>
      <c r="B238" s="4" t="s">
        <v>25</v>
      </c>
      <c r="C238" s="8">
        <v>0.02</v>
      </c>
      <c r="D238" s="4" t="s">
        <v>456</v>
      </c>
    </row>
    <row r="239" spans="1:10" x14ac:dyDescent="0.25">
      <c r="A239" s="3"/>
      <c r="B239" s="4" t="s">
        <v>172</v>
      </c>
      <c r="C239" s="8">
        <v>2.5000000000000001E-2</v>
      </c>
      <c r="D239" s="4" t="s">
        <v>116</v>
      </c>
    </row>
    <row r="240" spans="1:10" x14ac:dyDescent="0.25">
      <c r="A240" s="3"/>
      <c r="B240" s="4" t="s">
        <v>52</v>
      </c>
      <c r="C240" s="129">
        <f>1.25/A365</f>
        <v>2.6801029159519724E-2</v>
      </c>
      <c r="D240" s="4" t="s">
        <v>457</v>
      </c>
      <c r="H240" s="118"/>
    </row>
    <row r="241" spans="1:8" x14ac:dyDescent="0.25">
      <c r="A241" s="3"/>
      <c r="B241" s="9" t="s">
        <v>142</v>
      </c>
      <c r="C241" s="8">
        <f>0.04/A365</f>
        <v>8.576329331046312E-4</v>
      </c>
      <c r="D241" s="9" t="s">
        <v>173</v>
      </c>
    </row>
    <row r="242" spans="1:8" x14ac:dyDescent="0.25">
      <c r="A242" s="3"/>
      <c r="B242" s="3" t="s">
        <v>9</v>
      </c>
      <c r="C242" s="7">
        <f>SUM(C237:C241)</f>
        <v>0.12265866209262435</v>
      </c>
    </row>
    <row r="243" spans="1:8" x14ac:dyDescent="0.25">
      <c r="A243" s="3"/>
      <c r="C243" s="5"/>
    </row>
    <row r="244" spans="1:8" x14ac:dyDescent="0.25">
      <c r="A244" s="3" t="s">
        <v>174</v>
      </c>
      <c r="C244" s="5"/>
    </row>
    <row r="245" spans="1:8" x14ac:dyDescent="0.25">
      <c r="A245" s="3"/>
      <c r="B245" s="4" t="s">
        <v>24</v>
      </c>
      <c r="C245" s="8">
        <v>5.7500000000000002E-2</v>
      </c>
      <c r="D245" s="4" t="s">
        <v>7</v>
      </c>
    </row>
    <row r="246" spans="1:8" x14ac:dyDescent="0.25">
      <c r="A246" s="3"/>
      <c r="B246" s="4" t="s">
        <v>25</v>
      </c>
      <c r="C246" s="8">
        <v>0.02</v>
      </c>
      <c r="D246" s="4" t="s">
        <v>305</v>
      </c>
    </row>
    <row r="247" spans="1:8" x14ac:dyDescent="0.25">
      <c r="A247" s="3"/>
      <c r="B247" s="4" t="s">
        <v>175</v>
      </c>
      <c r="C247" s="8">
        <v>1.2999999999999999E-3</v>
      </c>
      <c r="D247" s="4" t="s">
        <v>176</v>
      </c>
    </row>
    <row r="248" spans="1:8" x14ac:dyDescent="0.25">
      <c r="A248" s="3"/>
      <c r="B248" s="4" t="s">
        <v>177</v>
      </c>
      <c r="C248" s="8">
        <f>0.25/$A$365</f>
        <v>5.3602058319039449E-3</v>
      </c>
      <c r="D248" s="4" t="s">
        <v>248</v>
      </c>
    </row>
    <row r="249" spans="1:8" x14ac:dyDescent="0.25">
      <c r="A249" s="3"/>
      <c r="B249" s="3" t="s">
        <v>9</v>
      </c>
      <c r="C249" s="7">
        <f>SUM(C245:C248)</f>
        <v>8.4160205831903936E-2</v>
      </c>
    </row>
    <row r="250" spans="1:8" x14ac:dyDescent="0.25">
      <c r="A250" s="3"/>
      <c r="C250" s="5"/>
    </row>
    <row r="251" spans="1:8" x14ac:dyDescent="0.25">
      <c r="A251" s="3" t="s">
        <v>178</v>
      </c>
      <c r="C251" s="5"/>
    </row>
    <row r="252" spans="1:8" x14ac:dyDescent="0.25">
      <c r="A252" s="3"/>
      <c r="B252" s="4" t="s">
        <v>24</v>
      </c>
      <c r="C252" s="8">
        <v>4.4999999999999998E-2</v>
      </c>
      <c r="D252" s="4" t="s">
        <v>7</v>
      </c>
    </row>
    <row r="253" spans="1:8" x14ac:dyDescent="0.25">
      <c r="A253" s="3"/>
      <c r="B253" s="4" t="s">
        <v>25</v>
      </c>
      <c r="C253" s="8">
        <f>(3.875%+4.017%)/2</f>
        <v>3.9460000000000002E-2</v>
      </c>
      <c r="D253" s="4" t="s">
        <v>179</v>
      </c>
    </row>
    <row r="254" spans="1:8" x14ac:dyDescent="0.25">
      <c r="A254" s="3"/>
      <c r="B254" s="4" t="s">
        <v>66</v>
      </c>
      <c r="C254" s="8">
        <f>0.5/A365</f>
        <v>1.072041166380789E-2</v>
      </c>
      <c r="D254" s="4" t="s">
        <v>180</v>
      </c>
    </row>
    <row r="255" spans="1:8" x14ac:dyDescent="0.25">
      <c r="A255" s="3"/>
      <c r="B255" s="4" t="s">
        <v>47</v>
      </c>
      <c r="C255" s="8">
        <f>2.16%*$A$367</f>
        <v>1.35864E-2</v>
      </c>
      <c r="D255" s="4" t="s">
        <v>458</v>
      </c>
      <c r="H255" s="13"/>
    </row>
    <row r="256" spans="1:8" x14ac:dyDescent="0.25">
      <c r="A256" s="3"/>
      <c r="B256" s="3" t="s">
        <v>9</v>
      </c>
      <c r="C256" s="7">
        <f>SUM(C252:C255)</f>
        <v>0.10876681166380789</v>
      </c>
    </row>
    <row r="257" spans="1:9" x14ac:dyDescent="0.25">
      <c r="A257" s="3"/>
      <c r="C257" s="5"/>
    </row>
    <row r="258" spans="1:9" x14ac:dyDescent="0.25">
      <c r="A258" s="3" t="s">
        <v>181</v>
      </c>
      <c r="C258" s="5"/>
    </row>
    <row r="259" spans="1:9" x14ac:dyDescent="0.25">
      <c r="A259" s="3"/>
      <c r="B259" s="4" t="s">
        <v>182</v>
      </c>
      <c r="C259" s="8">
        <v>0</v>
      </c>
      <c r="D259" s="4" t="s">
        <v>183</v>
      </c>
    </row>
    <row r="260" spans="1:9" x14ac:dyDescent="0.25">
      <c r="A260" s="3"/>
      <c r="B260" s="4" t="s">
        <v>106</v>
      </c>
      <c r="C260" s="8">
        <f>0.75/A365</f>
        <v>1.6080617495711835E-2</v>
      </c>
      <c r="D260" s="4" t="s">
        <v>117</v>
      </c>
    </row>
    <row r="261" spans="1:9" x14ac:dyDescent="0.25">
      <c r="A261" s="3"/>
      <c r="B261" s="4" t="s">
        <v>184</v>
      </c>
      <c r="C261" s="8">
        <f>0.09/A365</f>
        <v>1.92967409948542E-3</v>
      </c>
      <c r="D261" s="13" t="s">
        <v>459</v>
      </c>
    </row>
    <row r="262" spans="1:9" x14ac:dyDescent="0.25">
      <c r="A262" s="3"/>
      <c r="B262" s="3" t="s">
        <v>9</v>
      </c>
      <c r="C262" s="7">
        <f>SUM(C259:C261)</f>
        <v>1.8010291595197254E-2</v>
      </c>
      <c r="D262" s="10"/>
    </row>
    <row r="263" spans="1:9" x14ac:dyDescent="0.25">
      <c r="A263" s="3"/>
      <c r="C263" s="5"/>
      <c r="D263" s="10"/>
    </row>
    <row r="264" spans="1:9" x14ac:dyDescent="0.25">
      <c r="A264" s="3"/>
      <c r="C264" s="5"/>
    </row>
    <row r="265" spans="1:9" x14ac:dyDescent="0.25">
      <c r="A265" s="3" t="s">
        <v>185</v>
      </c>
      <c r="C265" s="5"/>
    </row>
    <row r="266" spans="1:9" x14ac:dyDescent="0.25">
      <c r="A266" s="3"/>
      <c r="B266" s="4" t="s">
        <v>24</v>
      </c>
      <c r="C266" s="8">
        <v>0.06</v>
      </c>
      <c r="D266" s="4" t="s">
        <v>7</v>
      </c>
      <c r="I266" s="52"/>
    </row>
    <row r="267" spans="1:9" x14ac:dyDescent="0.25">
      <c r="A267" s="3"/>
      <c r="B267" s="4" t="s">
        <v>172</v>
      </c>
      <c r="C267" s="8">
        <v>0.05</v>
      </c>
      <c r="D267" s="4" t="s">
        <v>7</v>
      </c>
    </row>
    <row r="268" spans="1:9" x14ac:dyDescent="0.25">
      <c r="A268" s="3"/>
      <c r="B268" s="4" t="s">
        <v>65</v>
      </c>
      <c r="C268" s="8">
        <v>0.01</v>
      </c>
      <c r="D268" s="9" t="s">
        <v>186</v>
      </c>
    </row>
    <row r="269" spans="1:9" x14ac:dyDescent="0.25">
      <c r="A269" s="3"/>
      <c r="B269" s="4" t="s">
        <v>73</v>
      </c>
      <c r="C269" s="8">
        <f>1/A365</f>
        <v>2.1440823327615779E-2</v>
      </c>
      <c r="D269" s="13" t="s">
        <v>460</v>
      </c>
    </row>
    <row r="270" spans="1:9" x14ac:dyDescent="0.25">
      <c r="A270" s="3"/>
      <c r="B270" s="3" t="s">
        <v>9</v>
      </c>
      <c r="C270" s="7">
        <f>SUM(C266:C269)</f>
        <v>0.14144082332761576</v>
      </c>
      <c r="D270" s="10"/>
    </row>
    <row r="271" spans="1:9" x14ac:dyDescent="0.25">
      <c r="A271" s="3"/>
      <c r="C271" s="5"/>
    </row>
    <row r="272" spans="1:9" x14ac:dyDescent="0.25">
      <c r="A272" s="3" t="s">
        <v>444</v>
      </c>
      <c r="B272" s="4" t="s">
        <v>446</v>
      </c>
      <c r="C272" s="5">
        <v>0.115</v>
      </c>
      <c r="D272" s="4" t="s">
        <v>526</v>
      </c>
    </row>
    <row r="273" spans="1:4" x14ac:dyDescent="0.25">
      <c r="A273" s="3"/>
      <c r="B273" s="4" t="s">
        <v>190</v>
      </c>
      <c r="C273" s="5">
        <f>0.5/A365</f>
        <v>1.072041166380789E-2</v>
      </c>
      <c r="D273" s="4" t="s">
        <v>447</v>
      </c>
    </row>
    <row r="274" spans="1:4" x14ac:dyDescent="0.25">
      <c r="A274" s="3"/>
      <c r="B274" s="4" t="s">
        <v>47</v>
      </c>
      <c r="C274" s="5">
        <f>1.39%*A367</f>
        <v>8.7431000000000002E-3</v>
      </c>
      <c r="D274" s="4" t="s">
        <v>445</v>
      </c>
    </row>
    <row r="275" spans="1:4" x14ac:dyDescent="0.25">
      <c r="A275" s="3"/>
      <c r="B275" s="3" t="s">
        <v>9</v>
      </c>
      <c r="C275" s="116">
        <f>SUM(C272:C274)</f>
        <v>0.13446351166380791</v>
      </c>
    </row>
    <row r="276" spans="1:4" x14ac:dyDescent="0.25">
      <c r="A276" s="3"/>
      <c r="C276" s="5"/>
    </row>
    <row r="277" spans="1:4" x14ac:dyDescent="0.25">
      <c r="A277" s="3" t="s">
        <v>188</v>
      </c>
      <c r="C277" s="5"/>
    </row>
    <row r="278" spans="1:4" x14ac:dyDescent="0.25">
      <c r="A278" s="3"/>
      <c r="B278" s="4" t="s">
        <v>24</v>
      </c>
      <c r="C278" s="8">
        <v>7.0000000000000007E-2</v>
      </c>
      <c r="D278" s="4" t="s">
        <v>7</v>
      </c>
    </row>
    <row r="279" spans="1:4" x14ac:dyDescent="0.25">
      <c r="A279" s="3"/>
      <c r="B279" s="4" t="s">
        <v>189</v>
      </c>
      <c r="C279" s="8">
        <v>0.05</v>
      </c>
      <c r="D279" s="4" t="s">
        <v>7</v>
      </c>
    </row>
    <row r="280" spans="1:4" x14ac:dyDescent="0.25">
      <c r="A280" s="3"/>
      <c r="B280" s="4" t="s">
        <v>190</v>
      </c>
      <c r="C280" s="8">
        <f>1/A365</f>
        <v>2.1440823327615779E-2</v>
      </c>
      <c r="D280" s="4" t="s">
        <v>191</v>
      </c>
    </row>
    <row r="281" spans="1:4" x14ac:dyDescent="0.25">
      <c r="A281" s="3"/>
      <c r="B281" s="4" t="s">
        <v>192</v>
      </c>
      <c r="C281" s="8">
        <f>0.26/A365</f>
        <v>5.5746140651801029E-3</v>
      </c>
      <c r="D281" s="4" t="s">
        <v>193</v>
      </c>
    </row>
    <row r="282" spans="1:4" x14ac:dyDescent="0.25">
      <c r="A282" s="3"/>
      <c r="B282" s="3" t="s">
        <v>9</v>
      </c>
      <c r="C282" s="7">
        <f>SUM(C278:C281)</f>
        <v>0.14701543739279588</v>
      </c>
    </row>
    <row r="283" spans="1:4" x14ac:dyDescent="0.25">
      <c r="A283" s="3"/>
      <c r="C283" s="5"/>
    </row>
    <row r="284" spans="1:4" x14ac:dyDescent="0.25">
      <c r="A284" s="3" t="s">
        <v>194</v>
      </c>
      <c r="C284" s="5"/>
    </row>
    <row r="285" spans="1:4" x14ac:dyDescent="0.25">
      <c r="A285" s="3"/>
      <c r="B285" s="4" t="s">
        <v>24</v>
      </c>
      <c r="C285" s="8">
        <v>0.06</v>
      </c>
      <c r="D285" s="4" t="s">
        <v>7</v>
      </c>
    </row>
    <row r="286" spans="1:4" x14ac:dyDescent="0.25">
      <c r="A286" s="3"/>
      <c r="B286" s="9" t="s">
        <v>65</v>
      </c>
      <c r="C286" s="8">
        <v>2.2499999999999999E-2</v>
      </c>
      <c r="D286" s="13" t="s">
        <v>252</v>
      </c>
    </row>
    <row r="287" spans="1:4" x14ac:dyDescent="0.25">
      <c r="A287" s="3"/>
      <c r="B287" s="4" t="s">
        <v>195</v>
      </c>
      <c r="C287" s="8">
        <v>0.01</v>
      </c>
      <c r="D287" s="4" t="s">
        <v>196</v>
      </c>
    </row>
    <row r="288" spans="1:4" x14ac:dyDescent="0.25">
      <c r="A288" s="3"/>
      <c r="B288" s="9" t="s">
        <v>106</v>
      </c>
      <c r="C288" s="8">
        <f>0.62/A365</f>
        <v>1.3293310463121783E-2</v>
      </c>
      <c r="D288" s="13" t="s">
        <v>461</v>
      </c>
    </row>
    <row r="289" spans="1:8" x14ac:dyDescent="0.25">
      <c r="A289" s="3"/>
      <c r="B289" s="3" t="s">
        <v>9</v>
      </c>
      <c r="C289" s="7">
        <f>SUM(C285:C288)</f>
        <v>0.10579331046312176</v>
      </c>
    </row>
    <row r="290" spans="1:8" x14ac:dyDescent="0.25">
      <c r="A290" s="3"/>
      <c r="C290" s="5"/>
    </row>
    <row r="291" spans="1:8" x14ac:dyDescent="0.25">
      <c r="A291" s="3" t="s">
        <v>197</v>
      </c>
      <c r="C291" s="5"/>
    </row>
    <row r="292" spans="1:8" x14ac:dyDescent="0.25">
      <c r="A292" s="3"/>
      <c r="B292" s="4" t="s">
        <v>24</v>
      </c>
      <c r="C292" s="8">
        <v>0.04</v>
      </c>
      <c r="D292" s="4" t="s">
        <v>198</v>
      </c>
    </row>
    <row r="293" spans="1:8" x14ac:dyDescent="0.25">
      <c r="A293" s="3"/>
      <c r="B293" s="4" t="s">
        <v>172</v>
      </c>
      <c r="C293" s="8">
        <v>0.04</v>
      </c>
      <c r="D293" s="4" t="s">
        <v>199</v>
      </c>
    </row>
    <row r="294" spans="1:8" x14ac:dyDescent="0.25">
      <c r="A294" s="3"/>
      <c r="B294" s="4" t="s">
        <v>200</v>
      </c>
      <c r="C294" s="8">
        <f>2%</f>
        <v>0.02</v>
      </c>
      <c r="D294" s="4" t="s">
        <v>201</v>
      </c>
    </row>
    <row r="295" spans="1:8" x14ac:dyDescent="0.25">
      <c r="A295" s="3"/>
      <c r="B295" s="4" t="s">
        <v>202</v>
      </c>
      <c r="C295" s="8">
        <f>1.25/A365</f>
        <v>2.6801029159519724E-2</v>
      </c>
      <c r="D295" s="4" t="s">
        <v>462</v>
      </c>
    </row>
    <row r="296" spans="1:8" x14ac:dyDescent="0.25">
      <c r="A296" s="3"/>
      <c r="B296" s="4" t="s">
        <v>203</v>
      </c>
      <c r="C296" s="8">
        <f>0.15/A365</f>
        <v>3.2161234991423667E-3</v>
      </c>
      <c r="D296" s="4" t="s">
        <v>464</v>
      </c>
      <c r="H296" s="118"/>
    </row>
    <row r="297" spans="1:8" x14ac:dyDescent="0.25">
      <c r="A297" s="3"/>
      <c r="B297" s="4" t="s">
        <v>36</v>
      </c>
      <c r="C297" s="8">
        <v>1.4E-3</v>
      </c>
      <c r="D297" s="4" t="s">
        <v>204</v>
      </c>
      <c r="H297" s="15"/>
    </row>
    <row r="298" spans="1:8" x14ac:dyDescent="0.25">
      <c r="A298" s="3"/>
      <c r="B298" s="3" t="s">
        <v>9</v>
      </c>
      <c r="C298" s="7">
        <f>SUM(C292:C297)</f>
        <v>0.13141715265866211</v>
      </c>
    </row>
    <row r="299" spans="1:8" x14ac:dyDescent="0.25">
      <c r="A299" s="3"/>
      <c r="C299" s="5"/>
    </row>
    <row r="300" spans="1:8" x14ac:dyDescent="0.25">
      <c r="A300" s="3" t="s">
        <v>205</v>
      </c>
      <c r="C300" s="5"/>
    </row>
    <row r="301" spans="1:8" x14ac:dyDescent="0.25">
      <c r="A301" s="3"/>
      <c r="B301" s="4" t="s">
        <v>24</v>
      </c>
      <c r="C301" s="8">
        <v>7.0000000000000007E-2</v>
      </c>
      <c r="D301" s="4" t="s">
        <v>7</v>
      </c>
    </row>
    <row r="302" spans="1:8" x14ac:dyDescent="0.25">
      <c r="A302" s="3"/>
      <c r="B302" s="4" t="s">
        <v>65</v>
      </c>
      <c r="C302" s="8">
        <v>2.5000000000000001E-2</v>
      </c>
      <c r="D302" s="4" t="s">
        <v>206</v>
      </c>
    </row>
    <row r="303" spans="1:8" x14ac:dyDescent="0.25">
      <c r="A303" s="3"/>
      <c r="B303" s="9" t="s">
        <v>207</v>
      </c>
      <c r="C303" s="8">
        <f>1.16/A365</f>
        <v>2.4871355060034302E-2</v>
      </c>
      <c r="D303" s="4" t="s">
        <v>527</v>
      </c>
    </row>
    <row r="304" spans="1:8" x14ac:dyDescent="0.25">
      <c r="A304" s="3"/>
      <c r="B304" s="3" t="s">
        <v>9</v>
      </c>
      <c r="C304" s="7">
        <f>SUM(C301:C303)</f>
        <v>0.1198713550600343</v>
      </c>
    </row>
    <row r="305" spans="1:8" x14ac:dyDescent="0.25">
      <c r="A305" s="3"/>
      <c r="C305" s="5"/>
    </row>
    <row r="306" spans="1:8" x14ac:dyDescent="0.25">
      <c r="A306" s="3" t="s">
        <v>208</v>
      </c>
      <c r="C306" s="5"/>
    </row>
    <row r="307" spans="1:8" x14ac:dyDescent="0.25">
      <c r="A307" s="3"/>
      <c r="B307" s="4" t="s">
        <v>24</v>
      </c>
      <c r="C307" s="8">
        <v>6.25E-2</v>
      </c>
      <c r="D307" s="4" t="s">
        <v>7</v>
      </c>
    </row>
    <row r="308" spans="1:8" x14ac:dyDescent="0.25">
      <c r="A308" s="3"/>
      <c r="B308" s="9" t="s">
        <v>65</v>
      </c>
      <c r="C308" s="8">
        <v>0.02</v>
      </c>
      <c r="D308" s="9" t="s">
        <v>209</v>
      </c>
    </row>
    <row r="309" spans="1:8" x14ac:dyDescent="0.25">
      <c r="A309" s="3"/>
      <c r="B309" s="4" t="s">
        <v>210</v>
      </c>
      <c r="C309" s="8">
        <f>0.5/A365</f>
        <v>1.072041166380789E-2</v>
      </c>
      <c r="D309" s="9" t="s">
        <v>211</v>
      </c>
    </row>
    <row r="310" spans="1:8" x14ac:dyDescent="0.25">
      <c r="A310" s="3"/>
      <c r="B310" s="4" t="s">
        <v>212</v>
      </c>
      <c r="C310" s="8">
        <f>0.033*$A$367</f>
        <v>2.0757000000000001E-2</v>
      </c>
      <c r="D310" s="13" t="s">
        <v>465</v>
      </c>
      <c r="H310" s="15"/>
    </row>
    <row r="311" spans="1:8" x14ac:dyDescent="0.25">
      <c r="A311" s="3"/>
      <c r="B311" s="9" t="s">
        <v>213</v>
      </c>
      <c r="C311" s="8">
        <f>0.06/A365</f>
        <v>1.2864493996569467E-3</v>
      </c>
      <c r="D311" s="9" t="s">
        <v>214</v>
      </c>
    </row>
    <row r="312" spans="1:8" x14ac:dyDescent="0.25">
      <c r="A312" s="3"/>
      <c r="B312" s="3" t="s">
        <v>9</v>
      </c>
      <c r="C312" s="7">
        <f>SUM(C307:C311)</f>
        <v>0.11526386106346484</v>
      </c>
    </row>
    <row r="313" spans="1:8" x14ac:dyDescent="0.25">
      <c r="A313" s="3"/>
      <c r="C313" s="5"/>
    </row>
    <row r="314" spans="1:8" x14ac:dyDescent="0.25">
      <c r="A314" s="3" t="s">
        <v>215</v>
      </c>
      <c r="C314" s="5"/>
    </row>
    <row r="315" spans="1:8" x14ac:dyDescent="0.25">
      <c r="A315" s="3"/>
      <c r="B315" s="4" t="s">
        <v>24</v>
      </c>
      <c r="C315" s="8">
        <v>4.7E-2</v>
      </c>
      <c r="D315" s="4" t="s">
        <v>51</v>
      </c>
    </row>
    <row r="316" spans="1:8" x14ac:dyDescent="0.25">
      <c r="A316" s="3"/>
      <c r="B316" s="4" t="s">
        <v>25</v>
      </c>
      <c r="C316" s="8">
        <f>(2.15%+2.05%)/2</f>
        <v>2.0999999999999998E-2</v>
      </c>
      <c r="D316" s="4" t="s">
        <v>216</v>
      </c>
    </row>
    <row r="317" spans="1:8" x14ac:dyDescent="0.25">
      <c r="A317" s="3"/>
      <c r="B317" s="4" t="s">
        <v>217</v>
      </c>
      <c r="C317" s="8">
        <v>3.5000000000000003E-2</v>
      </c>
      <c r="D317" s="4" t="s">
        <v>218</v>
      </c>
    </row>
    <row r="318" spans="1:8" x14ac:dyDescent="0.25">
      <c r="A318" s="3"/>
      <c r="B318" s="4" t="s">
        <v>66</v>
      </c>
      <c r="C318" s="8">
        <f>0.61/A365</f>
        <v>1.3078902229845625E-2</v>
      </c>
      <c r="D318" s="4" t="s">
        <v>219</v>
      </c>
    </row>
    <row r="319" spans="1:8" x14ac:dyDescent="0.25">
      <c r="A319" s="3"/>
      <c r="B319" s="4" t="s">
        <v>34</v>
      </c>
      <c r="C319" s="8">
        <f>0.09/A365</f>
        <v>1.92967409948542E-3</v>
      </c>
      <c r="D319" s="4" t="s">
        <v>466</v>
      </c>
    </row>
    <row r="320" spans="1:8" x14ac:dyDescent="0.25">
      <c r="A320" s="3"/>
      <c r="B320" s="4" t="s">
        <v>220</v>
      </c>
      <c r="C320" s="8">
        <f>0.06/A365</f>
        <v>1.2864493996569467E-3</v>
      </c>
      <c r="D320" s="4" t="s">
        <v>467</v>
      </c>
    </row>
    <row r="321" spans="1:4" x14ac:dyDescent="0.25">
      <c r="A321" s="3"/>
      <c r="B321" s="4" t="s">
        <v>81</v>
      </c>
      <c r="C321" s="8">
        <f>1%*A367</f>
        <v>6.2900000000000005E-3</v>
      </c>
      <c r="D321" s="9" t="s">
        <v>221</v>
      </c>
    </row>
    <row r="322" spans="1:4" x14ac:dyDescent="0.25">
      <c r="A322" s="3"/>
      <c r="B322" s="9" t="s">
        <v>222</v>
      </c>
      <c r="C322" s="8">
        <f>0.1/A365</f>
        <v>2.1440823327615781E-3</v>
      </c>
      <c r="D322" s="13" t="s">
        <v>468</v>
      </c>
    </row>
    <row r="323" spans="1:4" x14ac:dyDescent="0.25">
      <c r="A323" s="3"/>
      <c r="B323" s="3" t="s">
        <v>9</v>
      </c>
      <c r="C323" s="7">
        <f>SUM(C315:C322)</f>
        <v>0.12772910806174959</v>
      </c>
    </row>
    <row r="324" spans="1:4" x14ac:dyDescent="0.25">
      <c r="A324" s="3"/>
      <c r="C324" s="5"/>
    </row>
    <row r="325" spans="1:4" x14ac:dyDescent="0.25">
      <c r="A325" s="3" t="s">
        <v>223</v>
      </c>
      <c r="C325" s="8"/>
    </row>
    <row r="326" spans="1:4" x14ac:dyDescent="0.25">
      <c r="A326" s="3"/>
      <c r="B326" s="4" t="s">
        <v>24</v>
      </c>
      <c r="C326" s="8">
        <v>0.06</v>
      </c>
      <c r="D326" s="4" t="s">
        <v>7</v>
      </c>
    </row>
    <row r="327" spans="1:4" x14ac:dyDescent="0.25">
      <c r="A327" s="3"/>
      <c r="B327" s="4" t="s">
        <v>65</v>
      </c>
      <c r="C327" s="8">
        <v>5.0000000000000001E-3</v>
      </c>
      <c r="D327" s="4" t="s">
        <v>224</v>
      </c>
    </row>
    <row r="328" spans="1:4" x14ac:dyDescent="0.25">
      <c r="A328" s="3"/>
      <c r="B328" s="4" t="s">
        <v>81</v>
      </c>
      <c r="C328" s="8">
        <v>0.02</v>
      </c>
      <c r="D328" s="21" t="s">
        <v>469</v>
      </c>
    </row>
    <row r="329" spans="1:4" x14ac:dyDescent="0.25">
      <c r="A329" s="3"/>
      <c r="B329" s="3" t="s">
        <v>9</v>
      </c>
      <c r="C329" s="7">
        <f>SUM(C326:C328)</f>
        <v>8.5000000000000006E-2</v>
      </c>
    </row>
    <row r="330" spans="1:4" x14ac:dyDescent="0.25">
      <c r="A330" s="3"/>
      <c r="C330" s="5"/>
    </row>
    <row r="331" spans="1:4" x14ac:dyDescent="0.25">
      <c r="A331" s="3" t="s">
        <v>225</v>
      </c>
      <c r="C331" s="8"/>
    </row>
    <row r="332" spans="1:4" x14ac:dyDescent="0.25">
      <c r="A332" s="3"/>
      <c r="B332" s="4" t="s">
        <v>226</v>
      </c>
      <c r="C332" s="8">
        <v>0.05</v>
      </c>
      <c r="D332" s="4" t="s">
        <v>253</v>
      </c>
    </row>
    <row r="333" spans="1:4" x14ac:dyDescent="0.25">
      <c r="A333" s="3"/>
      <c r="B333" s="4" t="s">
        <v>28</v>
      </c>
      <c r="C333" s="8">
        <f>0.75/A365</f>
        <v>1.6080617495711835E-2</v>
      </c>
      <c r="D333" s="4" t="s">
        <v>117</v>
      </c>
    </row>
    <row r="334" spans="1:4" x14ac:dyDescent="0.25">
      <c r="A334" s="3"/>
      <c r="B334" s="3" t="s">
        <v>9</v>
      </c>
      <c r="C334" s="7">
        <f>SUM(C332:C333)</f>
        <v>6.6080617495711841E-2</v>
      </c>
    </row>
    <row r="335" spans="1:4" x14ac:dyDescent="0.25">
      <c r="A335" s="3"/>
      <c r="C335" s="5"/>
    </row>
    <row r="336" spans="1:4" x14ac:dyDescent="0.25">
      <c r="A336" s="3" t="s">
        <v>227</v>
      </c>
      <c r="C336" s="5"/>
    </row>
    <row r="337" spans="1:9" x14ac:dyDescent="0.25">
      <c r="A337" s="3"/>
      <c r="B337" s="4" t="s">
        <v>24</v>
      </c>
      <c r="C337" s="8">
        <v>6.5000000000000002E-2</v>
      </c>
      <c r="D337" s="4" t="s">
        <v>7</v>
      </c>
      <c r="I337" s="65"/>
    </row>
    <row r="338" spans="1:9" x14ac:dyDescent="0.25">
      <c r="A338" s="3"/>
      <c r="B338" s="4" t="s">
        <v>25</v>
      </c>
      <c r="C338" s="8">
        <f>(2.3%+3%)/2</f>
        <v>2.6499999999999999E-2</v>
      </c>
      <c r="D338" s="13" t="s">
        <v>531</v>
      </c>
    </row>
    <row r="339" spans="1:9" x14ac:dyDescent="0.25">
      <c r="A339" s="3"/>
      <c r="B339" s="9" t="s">
        <v>228</v>
      </c>
      <c r="C339" s="8">
        <f>(6%+9%)/2</f>
        <v>7.4999999999999997E-2</v>
      </c>
      <c r="D339" s="13" t="s">
        <v>530</v>
      </c>
    </row>
    <row r="340" spans="1:9" x14ac:dyDescent="0.25">
      <c r="A340" s="3"/>
      <c r="B340" s="9" t="s">
        <v>229</v>
      </c>
      <c r="C340" s="8">
        <f>0.25/A365</f>
        <v>5.3602058319039449E-3</v>
      </c>
      <c r="D340" s="13" t="s">
        <v>528</v>
      </c>
    </row>
    <row r="341" spans="1:9" x14ac:dyDescent="0.25">
      <c r="A341" s="3"/>
      <c r="B341" s="9" t="s">
        <v>230</v>
      </c>
      <c r="C341" s="8">
        <f>0.7/A365</f>
        <v>1.5008576329331046E-2</v>
      </c>
      <c r="D341" s="13" t="s">
        <v>529</v>
      </c>
    </row>
    <row r="342" spans="1:9" x14ac:dyDescent="0.25">
      <c r="A342" s="3"/>
      <c r="B342" s="3" t="s">
        <v>9</v>
      </c>
      <c r="C342" s="7">
        <f>SUM(C337:C341)</f>
        <v>0.18686878216123498</v>
      </c>
    </row>
    <row r="343" spans="1:9" x14ac:dyDescent="0.25">
      <c r="A343" s="3"/>
      <c r="C343" s="5"/>
    </row>
    <row r="344" spans="1:9" x14ac:dyDescent="0.25">
      <c r="A344" s="3" t="s">
        <v>231</v>
      </c>
      <c r="C344" s="5"/>
    </row>
    <row r="345" spans="1:9" x14ac:dyDescent="0.25">
      <c r="A345" s="3"/>
      <c r="B345" s="4" t="s">
        <v>28</v>
      </c>
      <c r="C345" s="8">
        <f>3/$A$365</f>
        <v>6.4322469982847338E-2</v>
      </c>
      <c r="D345" s="9" t="s">
        <v>232</v>
      </c>
    </row>
    <row r="346" spans="1:9" x14ac:dyDescent="0.25">
      <c r="A346" s="3"/>
      <c r="B346" s="3" t="s">
        <v>9</v>
      </c>
      <c r="C346" s="7">
        <f>SUM(C345:C345)</f>
        <v>6.4322469982847338E-2</v>
      </c>
    </row>
    <row r="347" spans="1:9" x14ac:dyDescent="0.25">
      <c r="A347" s="3"/>
      <c r="C347" s="5"/>
    </row>
    <row r="348" spans="1:9" x14ac:dyDescent="0.25">
      <c r="A348" s="3"/>
      <c r="C348" s="5"/>
    </row>
    <row r="349" spans="1:9" x14ac:dyDescent="0.25">
      <c r="A349" s="3" t="s">
        <v>233</v>
      </c>
      <c r="C349" s="5"/>
    </row>
    <row r="350" spans="1:9" x14ac:dyDescent="0.25">
      <c r="A350" s="3"/>
      <c r="B350" s="4" t="s">
        <v>24</v>
      </c>
      <c r="C350" s="8">
        <v>0.05</v>
      </c>
      <c r="D350" s="4" t="s">
        <v>234</v>
      </c>
    </row>
    <row r="351" spans="1:9" x14ac:dyDescent="0.25">
      <c r="A351" s="3"/>
      <c r="B351" s="4" t="s">
        <v>65</v>
      </c>
      <c r="C351" s="8">
        <v>5.4999999999999997E-3</v>
      </c>
      <c r="D351" s="4" t="s">
        <v>235</v>
      </c>
    </row>
    <row r="352" spans="1:9" x14ac:dyDescent="0.25">
      <c r="A352" s="3"/>
      <c r="B352" s="4" t="s">
        <v>236</v>
      </c>
      <c r="C352" s="129">
        <f>0.75/A365</f>
        <v>1.6080617495711835E-2</v>
      </c>
      <c r="D352" s="13" t="s">
        <v>306</v>
      </c>
    </row>
    <row r="353" spans="1:4" x14ac:dyDescent="0.25">
      <c r="A353" s="3"/>
      <c r="B353" s="4" t="s">
        <v>81</v>
      </c>
      <c r="C353" s="129">
        <f>0.02597%*A367</f>
        <v>1.6335130000000002E-4</v>
      </c>
      <c r="D353" s="13" t="s">
        <v>532</v>
      </c>
    </row>
    <row r="354" spans="1:4" x14ac:dyDescent="0.25">
      <c r="A354" s="3"/>
      <c r="B354" s="3" t="s">
        <v>9</v>
      </c>
      <c r="C354" s="7">
        <f>SUM(C350:C353)</f>
        <v>7.1743968795711835E-2</v>
      </c>
    </row>
    <row r="355" spans="1:4" x14ac:dyDescent="0.25">
      <c r="A355" s="3"/>
      <c r="C355" s="5"/>
    </row>
    <row r="356" spans="1:4" x14ac:dyDescent="0.25">
      <c r="A356" s="3" t="s">
        <v>237</v>
      </c>
      <c r="C356" s="5"/>
    </row>
    <row r="357" spans="1:4" x14ac:dyDescent="0.25">
      <c r="A357" s="3"/>
      <c r="B357" s="4" t="s">
        <v>24</v>
      </c>
      <c r="C357" s="8">
        <v>0.04</v>
      </c>
      <c r="D357" s="4" t="s">
        <v>44</v>
      </c>
    </row>
    <row r="358" spans="1:4" x14ac:dyDescent="0.25">
      <c r="A358" s="3"/>
      <c r="B358" s="4" t="s">
        <v>65</v>
      </c>
      <c r="C358" s="8">
        <v>1.4999999999999999E-2</v>
      </c>
      <c r="D358" s="4" t="s">
        <v>238</v>
      </c>
    </row>
    <row r="359" spans="1:4" x14ac:dyDescent="0.25">
      <c r="A359" s="3"/>
      <c r="B359" s="4" t="s">
        <v>142</v>
      </c>
      <c r="C359" s="8">
        <f>0.04/A365</f>
        <v>8.576329331046312E-4</v>
      </c>
      <c r="D359" s="4" t="s">
        <v>470</v>
      </c>
    </row>
    <row r="360" spans="1:4" x14ac:dyDescent="0.25">
      <c r="A360" s="3"/>
      <c r="B360" s="4" t="s">
        <v>47</v>
      </c>
      <c r="C360" s="8">
        <f>1.2%*A367</f>
        <v>7.548E-3</v>
      </c>
      <c r="D360" s="13" t="s">
        <v>471</v>
      </c>
    </row>
    <row r="361" spans="1:4" x14ac:dyDescent="0.25">
      <c r="A361" s="3"/>
      <c r="B361" s="4" t="s">
        <v>106</v>
      </c>
      <c r="C361" s="8">
        <f>0.75/A365</f>
        <v>1.6080617495711835E-2</v>
      </c>
      <c r="D361" s="4" t="s">
        <v>533</v>
      </c>
    </row>
    <row r="362" spans="1:4" x14ac:dyDescent="0.25">
      <c r="A362" s="3"/>
      <c r="B362" s="3" t="s">
        <v>9</v>
      </c>
      <c r="C362" s="7">
        <f>SUM(C357:C361)</f>
        <v>7.9486250428816477E-2</v>
      </c>
      <c r="D362" s="3"/>
    </row>
    <row r="363" spans="1:4" x14ac:dyDescent="0.25">
      <c r="A363" s="3"/>
      <c r="C363" s="5"/>
    </row>
    <row r="364" spans="1:4" x14ac:dyDescent="0.25">
      <c r="A364" s="3" t="s">
        <v>239</v>
      </c>
      <c r="C364" s="5"/>
    </row>
    <row r="365" spans="1:4" x14ac:dyDescent="0.25">
      <c r="A365" s="17">
        <v>46.64</v>
      </c>
      <c r="C365" s="5"/>
    </row>
    <row r="366" spans="1:4" x14ac:dyDescent="0.25">
      <c r="A366" s="4" t="s">
        <v>240</v>
      </c>
      <c r="C366" s="5"/>
    </row>
    <row r="367" spans="1:4" x14ac:dyDescent="0.25">
      <c r="A367" s="18">
        <v>0.629</v>
      </c>
      <c r="C367" s="5"/>
    </row>
    <row r="368" spans="1:4" x14ac:dyDescent="0.25">
      <c r="C368" s="16"/>
    </row>
    <row r="369" spans="1:3" x14ac:dyDescent="0.25">
      <c r="A369" s="3" t="s">
        <v>241</v>
      </c>
      <c r="B369" s="4" t="s">
        <v>242</v>
      </c>
      <c r="C369" s="16"/>
    </row>
    <row r="370" spans="1:3" x14ac:dyDescent="0.25">
      <c r="A370" s="3"/>
      <c r="B370" s="4" t="s">
        <v>423</v>
      </c>
      <c r="C370" s="16"/>
    </row>
    <row r="371" spans="1:3" x14ac:dyDescent="0.25">
      <c r="C371" s="16"/>
    </row>
    <row r="372" spans="1:3" x14ac:dyDescent="0.25">
      <c r="B372" s="4" t="s">
        <v>476</v>
      </c>
      <c r="C372" s="16"/>
    </row>
  </sheetData>
  <printOptions gridLines="1"/>
  <pageMargins left="0.7" right="0.7" top="0.75" bottom="0.75" header="0.3" footer="0.3"/>
  <pageSetup scale="41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zoomScale="115" zoomScaleNormal="115" workbookViewId="0">
      <selection activeCell="B14" sqref="B14"/>
    </sheetView>
  </sheetViews>
  <sheetFormatPr defaultRowHeight="15" x14ac:dyDescent="0.25"/>
  <cols>
    <col min="1" max="1" width="18.140625" customWidth="1"/>
    <col min="2" max="3" width="12.42578125" customWidth="1"/>
    <col min="4" max="5" width="14" customWidth="1"/>
    <col min="6" max="6" width="11.42578125" customWidth="1"/>
    <col min="7" max="7" width="18.5703125" style="22" customWidth="1"/>
    <col min="8" max="9" width="14.140625" customWidth="1"/>
    <col min="10" max="10" width="14.140625" style="114" customWidth="1"/>
    <col min="11" max="11" width="14.140625" style="119" customWidth="1"/>
    <col min="12" max="13" width="14.140625" customWidth="1"/>
    <col min="14" max="15" width="12.85546875" customWidth="1"/>
    <col min="16" max="16" width="11.7109375" style="22" customWidth="1"/>
    <col min="17" max="17" width="13.140625" style="22" customWidth="1"/>
    <col min="20" max="20" width="11.28515625" customWidth="1"/>
    <col min="262" max="262" width="18.140625" customWidth="1"/>
    <col min="264" max="264" width="4.5703125" customWidth="1"/>
    <col min="265" max="265" width="18.5703125" customWidth="1"/>
    <col min="266" max="266" width="13.140625" customWidth="1"/>
    <col min="267" max="267" width="14.85546875" customWidth="1"/>
    <col min="268" max="268" width="3.85546875" customWidth="1"/>
    <col min="269" max="269" width="12.85546875" customWidth="1"/>
    <col min="270" max="271" width="15" customWidth="1"/>
    <col min="272" max="273" width="11.7109375" customWidth="1"/>
    <col min="274" max="274" width="14.140625" customWidth="1"/>
    <col min="276" max="276" width="11.28515625" customWidth="1"/>
    <col min="518" max="518" width="18.140625" customWidth="1"/>
    <col min="520" max="520" width="4.5703125" customWidth="1"/>
    <col min="521" max="521" width="18.5703125" customWidth="1"/>
    <col min="522" max="522" width="13.140625" customWidth="1"/>
    <col min="523" max="523" width="14.85546875" customWidth="1"/>
    <col min="524" max="524" width="3.85546875" customWidth="1"/>
    <col min="525" max="525" width="12.85546875" customWidth="1"/>
    <col min="526" max="527" width="15" customWidth="1"/>
    <col min="528" max="529" width="11.7109375" customWidth="1"/>
    <col min="530" max="530" width="14.140625" customWidth="1"/>
    <col min="532" max="532" width="11.28515625" customWidth="1"/>
    <col min="774" max="774" width="18.140625" customWidth="1"/>
    <col min="776" max="776" width="4.5703125" customWidth="1"/>
    <col min="777" max="777" width="18.5703125" customWidth="1"/>
    <col min="778" max="778" width="13.140625" customWidth="1"/>
    <col min="779" max="779" width="14.85546875" customWidth="1"/>
    <col min="780" max="780" width="3.85546875" customWidth="1"/>
    <col min="781" max="781" width="12.85546875" customWidth="1"/>
    <col min="782" max="783" width="15" customWidth="1"/>
    <col min="784" max="785" width="11.7109375" customWidth="1"/>
    <col min="786" max="786" width="14.140625" customWidth="1"/>
    <col min="788" max="788" width="11.28515625" customWidth="1"/>
    <col min="1030" max="1030" width="18.140625" customWidth="1"/>
    <col min="1032" max="1032" width="4.5703125" customWidth="1"/>
    <col min="1033" max="1033" width="18.5703125" customWidth="1"/>
    <col min="1034" max="1034" width="13.140625" customWidth="1"/>
    <col min="1035" max="1035" width="14.85546875" customWidth="1"/>
    <col min="1036" max="1036" width="3.85546875" customWidth="1"/>
    <col min="1037" max="1037" width="12.85546875" customWidth="1"/>
    <col min="1038" max="1039" width="15" customWidth="1"/>
    <col min="1040" max="1041" width="11.7109375" customWidth="1"/>
    <col min="1042" max="1042" width="14.140625" customWidth="1"/>
    <col min="1044" max="1044" width="11.28515625" customWidth="1"/>
    <col min="1286" max="1286" width="18.140625" customWidth="1"/>
    <col min="1288" max="1288" width="4.5703125" customWidth="1"/>
    <col min="1289" max="1289" width="18.5703125" customWidth="1"/>
    <col min="1290" max="1290" width="13.140625" customWidth="1"/>
    <col min="1291" max="1291" width="14.85546875" customWidth="1"/>
    <col min="1292" max="1292" width="3.85546875" customWidth="1"/>
    <col min="1293" max="1293" width="12.85546875" customWidth="1"/>
    <col min="1294" max="1295" width="15" customWidth="1"/>
    <col min="1296" max="1297" width="11.7109375" customWidth="1"/>
    <col min="1298" max="1298" width="14.140625" customWidth="1"/>
    <col min="1300" max="1300" width="11.28515625" customWidth="1"/>
    <col min="1542" max="1542" width="18.140625" customWidth="1"/>
    <col min="1544" max="1544" width="4.5703125" customWidth="1"/>
    <col min="1545" max="1545" width="18.5703125" customWidth="1"/>
    <col min="1546" max="1546" width="13.140625" customWidth="1"/>
    <col min="1547" max="1547" width="14.85546875" customWidth="1"/>
    <col min="1548" max="1548" width="3.85546875" customWidth="1"/>
    <col min="1549" max="1549" width="12.85546875" customWidth="1"/>
    <col min="1550" max="1551" width="15" customWidth="1"/>
    <col min="1552" max="1553" width="11.7109375" customWidth="1"/>
    <col min="1554" max="1554" width="14.140625" customWidth="1"/>
    <col min="1556" max="1556" width="11.28515625" customWidth="1"/>
    <col min="1798" max="1798" width="18.140625" customWidth="1"/>
    <col min="1800" max="1800" width="4.5703125" customWidth="1"/>
    <col min="1801" max="1801" width="18.5703125" customWidth="1"/>
    <col min="1802" max="1802" width="13.140625" customWidth="1"/>
    <col min="1803" max="1803" width="14.85546875" customWidth="1"/>
    <col min="1804" max="1804" width="3.85546875" customWidth="1"/>
    <col min="1805" max="1805" width="12.85546875" customWidth="1"/>
    <col min="1806" max="1807" width="15" customWidth="1"/>
    <col min="1808" max="1809" width="11.7109375" customWidth="1"/>
    <col min="1810" max="1810" width="14.140625" customWidth="1"/>
    <col min="1812" max="1812" width="11.28515625" customWidth="1"/>
    <col min="2054" max="2054" width="18.140625" customWidth="1"/>
    <col min="2056" max="2056" width="4.5703125" customWidth="1"/>
    <col min="2057" max="2057" width="18.5703125" customWidth="1"/>
    <col min="2058" max="2058" width="13.140625" customWidth="1"/>
    <col min="2059" max="2059" width="14.85546875" customWidth="1"/>
    <col min="2060" max="2060" width="3.85546875" customWidth="1"/>
    <col min="2061" max="2061" width="12.85546875" customWidth="1"/>
    <col min="2062" max="2063" width="15" customWidth="1"/>
    <col min="2064" max="2065" width="11.7109375" customWidth="1"/>
    <col min="2066" max="2066" width="14.140625" customWidth="1"/>
    <col min="2068" max="2068" width="11.28515625" customWidth="1"/>
    <col min="2310" max="2310" width="18.140625" customWidth="1"/>
    <col min="2312" max="2312" width="4.5703125" customWidth="1"/>
    <col min="2313" max="2313" width="18.5703125" customWidth="1"/>
    <col min="2314" max="2314" width="13.140625" customWidth="1"/>
    <col min="2315" max="2315" width="14.85546875" customWidth="1"/>
    <col min="2316" max="2316" width="3.85546875" customWidth="1"/>
    <col min="2317" max="2317" width="12.85546875" customWidth="1"/>
    <col min="2318" max="2319" width="15" customWidth="1"/>
    <col min="2320" max="2321" width="11.7109375" customWidth="1"/>
    <col min="2322" max="2322" width="14.140625" customWidth="1"/>
    <col min="2324" max="2324" width="11.28515625" customWidth="1"/>
    <col min="2566" max="2566" width="18.140625" customWidth="1"/>
    <col min="2568" max="2568" width="4.5703125" customWidth="1"/>
    <col min="2569" max="2569" width="18.5703125" customWidth="1"/>
    <col min="2570" max="2570" width="13.140625" customWidth="1"/>
    <col min="2571" max="2571" width="14.85546875" customWidth="1"/>
    <col min="2572" max="2572" width="3.85546875" customWidth="1"/>
    <col min="2573" max="2573" width="12.85546875" customWidth="1"/>
    <col min="2574" max="2575" width="15" customWidth="1"/>
    <col min="2576" max="2577" width="11.7109375" customWidth="1"/>
    <col min="2578" max="2578" width="14.140625" customWidth="1"/>
    <col min="2580" max="2580" width="11.28515625" customWidth="1"/>
    <col min="2822" max="2822" width="18.140625" customWidth="1"/>
    <col min="2824" max="2824" width="4.5703125" customWidth="1"/>
    <col min="2825" max="2825" width="18.5703125" customWidth="1"/>
    <col min="2826" max="2826" width="13.140625" customWidth="1"/>
    <col min="2827" max="2827" width="14.85546875" customWidth="1"/>
    <col min="2828" max="2828" width="3.85546875" customWidth="1"/>
    <col min="2829" max="2829" width="12.85546875" customWidth="1"/>
    <col min="2830" max="2831" width="15" customWidth="1"/>
    <col min="2832" max="2833" width="11.7109375" customWidth="1"/>
    <col min="2834" max="2834" width="14.140625" customWidth="1"/>
    <col min="2836" max="2836" width="11.28515625" customWidth="1"/>
    <col min="3078" max="3078" width="18.140625" customWidth="1"/>
    <col min="3080" max="3080" width="4.5703125" customWidth="1"/>
    <col min="3081" max="3081" width="18.5703125" customWidth="1"/>
    <col min="3082" max="3082" width="13.140625" customWidth="1"/>
    <col min="3083" max="3083" width="14.85546875" customWidth="1"/>
    <col min="3084" max="3084" width="3.85546875" customWidth="1"/>
    <col min="3085" max="3085" width="12.85546875" customWidth="1"/>
    <col min="3086" max="3087" width="15" customWidth="1"/>
    <col min="3088" max="3089" width="11.7109375" customWidth="1"/>
    <col min="3090" max="3090" width="14.140625" customWidth="1"/>
    <col min="3092" max="3092" width="11.28515625" customWidth="1"/>
    <col min="3334" max="3334" width="18.140625" customWidth="1"/>
    <col min="3336" max="3336" width="4.5703125" customWidth="1"/>
    <col min="3337" max="3337" width="18.5703125" customWidth="1"/>
    <col min="3338" max="3338" width="13.140625" customWidth="1"/>
    <col min="3339" max="3339" width="14.85546875" customWidth="1"/>
    <col min="3340" max="3340" width="3.85546875" customWidth="1"/>
    <col min="3341" max="3341" width="12.85546875" customWidth="1"/>
    <col min="3342" max="3343" width="15" customWidth="1"/>
    <col min="3344" max="3345" width="11.7109375" customWidth="1"/>
    <col min="3346" max="3346" width="14.140625" customWidth="1"/>
    <col min="3348" max="3348" width="11.28515625" customWidth="1"/>
    <col min="3590" max="3590" width="18.140625" customWidth="1"/>
    <col min="3592" max="3592" width="4.5703125" customWidth="1"/>
    <col min="3593" max="3593" width="18.5703125" customWidth="1"/>
    <col min="3594" max="3594" width="13.140625" customWidth="1"/>
    <col min="3595" max="3595" width="14.85546875" customWidth="1"/>
    <col min="3596" max="3596" width="3.85546875" customWidth="1"/>
    <col min="3597" max="3597" width="12.85546875" customWidth="1"/>
    <col min="3598" max="3599" width="15" customWidth="1"/>
    <col min="3600" max="3601" width="11.7109375" customWidth="1"/>
    <col min="3602" max="3602" width="14.140625" customWidth="1"/>
    <col min="3604" max="3604" width="11.28515625" customWidth="1"/>
    <col min="3846" max="3846" width="18.140625" customWidth="1"/>
    <col min="3848" max="3848" width="4.5703125" customWidth="1"/>
    <col min="3849" max="3849" width="18.5703125" customWidth="1"/>
    <col min="3850" max="3850" width="13.140625" customWidth="1"/>
    <col min="3851" max="3851" width="14.85546875" customWidth="1"/>
    <col min="3852" max="3852" width="3.85546875" customWidth="1"/>
    <col min="3853" max="3853" width="12.85546875" customWidth="1"/>
    <col min="3854" max="3855" width="15" customWidth="1"/>
    <col min="3856" max="3857" width="11.7109375" customWidth="1"/>
    <col min="3858" max="3858" width="14.140625" customWidth="1"/>
    <col min="3860" max="3860" width="11.28515625" customWidth="1"/>
    <col min="4102" max="4102" width="18.140625" customWidth="1"/>
    <col min="4104" max="4104" width="4.5703125" customWidth="1"/>
    <col min="4105" max="4105" width="18.5703125" customWidth="1"/>
    <col min="4106" max="4106" width="13.140625" customWidth="1"/>
    <col min="4107" max="4107" width="14.85546875" customWidth="1"/>
    <col min="4108" max="4108" width="3.85546875" customWidth="1"/>
    <col min="4109" max="4109" width="12.85546875" customWidth="1"/>
    <col min="4110" max="4111" width="15" customWidth="1"/>
    <col min="4112" max="4113" width="11.7109375" customWidth="1"/>
    <col min="4114" max="4114" width="14.140625" customWidth="1"/>
    <col min="4116" max="4116" width="11.28515625" customWidth="1"/>
    <col min="4358" max="4358" width="18.140625" customWidth="1"/>
    <col min="4360" max="4360" width="4.5703125" customWidth="1"/>
    <col min="4361" max="4361" width="18.5703125" customWidth="1"/>
    <col min="4362" max="4362" width="13.140625" customWidth="1"/>
    <col min="4363" max="4363" width="14.85546875" customWidth="1"/>
    <col min="4364" max="4364" width="3.85546875" customWidth="1"/>
    <col min="4365" max="4365" width="12.85546875" customWidth="1"/>
    <col min="4366" max="4367" width="15" customWidth="1"/>
    <col min="4368" max="4369" width="11.7109375" customWidth="1"/>
    <col min="4370" max="4370" width="14.140625" customWidth="1"/>
    <col min="4372" max="4372" width="11.28515625" customWidth="1"/>
    <col min="4614" max="4614" width="18.140625" customWidth="1"/>
    <col min="4616" max="4616" width="4.5703125" customWidth="1"/>
    <col min="4617" max="4617" width="18.5703125" customWidth="1"/>
    <col min="4618" max="4618" width="13.140625" customWidth="1"/>
    <col min="4619" max="4619" width="14.85546875" customWidth="1"/>
    <col min="4620" max="4620" width="3.85546875" customWidth="1"/>
    <col min="4621" max="4621" width="12.85546875" customWidth="1"/>
    <col min="4622" max="4623" width="15" customWidth="1"/>
    <col min="4624" max="4625" width="11.7109375" customWidth="1"/>
    <col min="4626" max="4626" width="14.140625" customWidth="1"/>
    <col min="4628" max="4628" width="11.28515625" customWidth="1"/>
    <col min="4870" max="4870" width="18.140625" customWidth="1"/>
    <col min="4872" max="4872" width="4.5703125" customWidth="1"/>
    <col min="4873" max="4873" width="18.5703125" customWidth="1"/>
    <col min="4874" max="4874" width="13.140625" customWidth="1"/>
    <col min="4875" max="4875" width="14.85546875" customWidth="1"/>
    <col min="4876" max="4876" width="3.85546875" customWidth="1"/>
    <col min="4877" max="4877" width="12.85546875" customWidth="1"/>
    <col min="4878" max="4879" width="15" customWidth="1"/>
    <col min="4880" max="4881" width="11.7109375" customWidth="1"/>
    <col min="4882" max="4882" width="14.140625" customWidth="1"/>
    <col min="4884" max="4884" width="11.28515625" customWidth="1"/>
    <col min="5126" max="5126" width="18.140625" customWidth="1"/>
    <col min="5128" max="5128" width="4.5703125" customWidth="1"/>
    <col min="5129" max="5129" width="18.5703125" customWidth="1"/>
    <col min="5130" max="5130" width="13.140625" customWidth="1"/>
    <col min="5131" max="5131" width="14.85546875" customWidth="1"/>
    <col min="5132" max="5132" width="3.85546875" customWidth="1"/>
    <col min="5133" max="5133" width="12.85546875" customWidth="1"/>
    <col min="5134" max="5135" width="15" customWidth="1"/>
    <col min="5136" max="5137" width="11.7109375" customWidth="1"/>
    <col min="5138" max="5138" width="14.140625" customWidth="1"/>
    <col min="5140" max="5140" width="11.28515625" customWidth="1"/>
    <col min="5382" max="5382" width="18.140625" customWidth="1"/>
    <col min="5384" max="5384" width="4.5703125" customWidth="1"/>
    <col min="5385" max="5385" width="18.5703125" customWidth="1"/>
    <col min="5386" max="5386" width="13.140625" customWidth="1"/>
    <col min="5387" max="5387" width="14.85546875" customWidth="1"/>
    <col min="5388" max="5388" width="3.85546875" customWidth="1"/>
    <col min="5389" max="5389" width="12.85546875" customWidth="1"/>
    <col min="5390" max="5391" width="15" customWidth="1"/>
    <col min="5392" max="5393" width="11.7109375" customWidth="1"/>
    <col min="5394" max="5394" width="14.140625" customWidth="1"/>
    <col min="5396" max="5396" width="11.28515625" customWidth="1"/>
    <col min="5638" max="5638" width="18.140625" customWidth="1"/>
    <col min="5640" max="5640" width="4.5703125" customWidth="1"/>
    <col min="5641" max="5641" width="18.5703125" customWidth="1"/>
    <col min="5642" max="5642" width="13.140625" customWidth="1"/>
    <col min="5643" max="5643" width="14.85546875" customWidth="1"/>
    <col min="5644" max="5644" width="3.85546875" customWidth="1"/>
    <col min="5645" max="5645" width="12.85546875" customWidth="1"/>
    <col min="5646" max="5647" width="15" customWidth="1"/>
    <col min="5648" max="5649" width="11.7109375" customWidth="1"/>
    <col min="5650" max="5650" width="14.140625" customWidth="1"/>
    <col min="5652" max="5652" width="11.28515625" customWidth="1"/>
    <col min="5894" max="5894" width="18.140625" customWidth="1"/>
    <col min="5896" max="5896" width="4.5703125" customWidth="1"/>
    <col min="5897" max="5897" width="18.5703125" customWidth="1"/>
    <col min="5898" max="5898" width="13.140625" customWidth="1"/>
    <col min="5899" max="5899" width="14.85546875" customWidth="1"/>
    <col min="5900" max="5900" width="3.85546875" customWidth="1"/>
    <col min="5901" max="5901" width="12.85546875" customWidth="1"/>
    <col min="5902" max="5903" width="15" customWidth="1"/>
    <col min="5904" max="5905" width="11.7109375" customWidth="1"/>
    <col min="5906" max="5906" width="14.140625" customWidth="1"/>
    <col min="5908" max="5908" width="11.28515625" customWidth="1"/>
    <col min="6150" max="6150" width="18.140625" customWidth="1"/>
    <col min="6152" max="6152" width="4.5703125" customWidth="1"/>
    <col min="6153" max="6153" width="18.5703125" customWidth="1"/>
    <col min="6154" max="6154" width="13.140625" customWidth="1"/>
    <col min="6155" max="6155" width="14.85546875" customWidth="1"/>
    <col min="6156" max="6156" width="3.85546875" customWidth="1"/>
    <col min="6157" max="6157" width="12.85546875" customWidth="1"/>
    <col min="6158" max="6159" width="15" customWidth="1"/>
    <col min="6160" max="6161" width="11.7109375" customWidth="1"/>
    <col min="6162" max="6162" width="14.140625" customWidth="1"/>
    <col min="6164" max="6164" width="11.28515625" customWidth="1"/>
    <col min="6406" max="6406" width="18.140625" customWidth="1"/>
    <col min="6408" max="6408" width="4.5703125" customWidth="1"/>
    <col min="6409" max="6409" width="18.5703125" customWidth="1"/>
    <col min="6410" max="6410" width="13.140625" customWidth="1"/>
    <col min="6411" max="6411" width="14.85546875" customWidth="1"/>
    <col min="6412" max="6412" width="3.85546875" customWidth="1"/>
    <col min="6413" max="6413" width="12.85546875" customWidth="1"/>
    <col min="6414" max="6415" width="15" customWidth="1"/>
    <col min="6416" max="6417" width="11.7109375" customWidth="1"/>
    <col min="6418" max="6418" width="14.140625" customWidth="1"/>
    <col min="6420" max="6420" width="11.28515625" customWidth="1"/>
    <col min="6662" max="6662" width="18.140625" customWidth="1"/>
    <col min="6664" max="6664" width="4.5703125" customWidth="1"/>
    <col min="6665" max="6665" width="18.5703125" customWidth="1"/>
    <col min="6666" max="6666" width="13.140625" customWidth="1"/>
    <col min="6667" max="6667" width="14.85546875" customWidth="1"/>
    <col min="6668" max="6668" width="3.85546875" customWidth="1"/>
    <col min="6669" max="6669" width="12.85546875" customWidth="1"/>
    <col min="6670" max="6671" width="15" customWidth="1"/>
    <col min="6672" max="6673" width="11.7109375" customWidth="1"/>
    <col min="6674" max="6674" width="14.140625" customWidth="1"/>
    <col min="6676" max="6676" width="11.28515625" customWidth="1"/>
    <col min="6918" max="6918" width="18.140625" customWidth="1"/>
    <col min="6920" max="6920" width="4.5703125" customWidth="1"/>
    <col min="6921" max="6921" width="18.5703125" customWidth="1"/>
    <col min="6922" max="6922" width="13.140625" customWidth="1"/>
    <col min="6923" max="6923" width="14.85546875" customWidth="1"/>
    <col min="6924" max="6924" width="3.85546875" customWidth="1"/>
    <col min="6925" max="6925" width="12.85546875" customWidth="1"/>
    <col min="6926" max="6927" width="15" customWidth="1"/>
    <col min="6928" max="6929" width="11.7109375" customWidth="1"/>
    <col min="6930" max="6930" width="14.140625" customWidth="1"/>
    <col min="6932" max="6932" width="11.28515625" customWidth="1"/>
    <col min="7174" max="7174" width="18.140625" customWidth="1"/>
    <col min="7176" max="7176" width="4.5703125" customWidth="1"/>
    <col min="7177" max="7177" width="18.5703125" customWidth="1"/>
    <col min="7178" max="7178" width="13.140625" customWidth="1"/>
    <col min="7179" max="7179" width="14.85546875" customWidth="1"/>
    <col min="7180" max="7180" width="3.85546875" customWidth="1"/>
    <col min="7181" max="7181" width="12.85546875" customWidth="1"/>
    <col min="7182" max="7183" width="15" customWidth="1"/>
    <col min="7184" max="7185" width="11.7109375" customWidth="1"/>
    <col min="7186" max="7186" width="14.140625" customWidth="1"/>
    <col min="7188" max="7188" width="11.28515625" customWidth="1"/>
    <col min="7430" max="7430" width="18.140625" customWidth="1"/>
    <col min="7432" max="7432" width="4.5703125" customWidth="1"/>
    <col min="7433" max="7433" width="18.5703125" customWidth="1"/>
    <col min="7434" max="7434" width="13.140625" customWidth="1"/>
    <col min="7435" max="7435" width="14.85546875" customWidth="1"/>
    <col min="7436" max="7436" width="3.85546875" customWidth="1"/>
    <col min="7437" max="7437" width="12.85546875" customWidth="1"/>
    <col min="7438" max="7439" width="15" customWidth="1"/>
    <col min="7440" max="7441" width="11.7109375" customWidth="1"/>
    <col min="7442" max="7442" width="14.140625" customWidth="1"/>
    <col min="7444" max="7444" width="11.28515625" customWidth="1"/>
    <col min="7686" max="7686" width="18.140625" customWidth="1"/>
    <col min="7688" max="7688" width="4.5703125" customWidth="1"/>
    <col min="7689" max="7689" width="18.5703125" customWidth="1"/>
    <col min="7690" max="7690" width="13.140625" customWidth="1"/>
    <col min="7691" max="7691" width="14.85546875" customWidth="1"/>
    <col min="7692" max="7692" width="3.85546875" customWidth="1"/>
    <col min="7693" max="7693" width="12.85546875" customWidth="1"/>
    <col min="7694" max="7695" width="15" customWidth="1"/>
    <col min="7696" max="7697" width="11.7109375" customWidth="1"/>
    <col min="7698" max="7698" width="14.140625" customWidth="1"/>
    <col min="7700" max="7700" width="11.28515625" customWidth="1"/>
    <col min="7942" max="7942" width="18.140625" customWidth="1"/>
    <col min="7944" max="7944" width="4.5703125" customWidth="1"/>
    <col min="7945" max="7945" width="18.5703125" customWidth="1"/>
    <col min="7946" max="7946" width="13.140625" customWidth="1"/>
    <col min="7947" max="7947" width="14.85546875" customWidth="1"/>
    <col min="7948" max="7948" width="3.85546875" customWidth="1"/>
    <col min="7949" max="7949" width="12.85546875" customWidth="1"/>
    <col min="7950" max="7951" width="15" customWidth="1"/>
    <col min="7952" max="7953" width="11.7109375" customWidth="1"/>
    <col min="7954" max="7954" width="14.140625" customWidth="1"/>
    <col min="7956" max="7956" width="11.28515625" customWidth="1"/>
    <col min="8198" max="8198" width="18.140625" customWidth="1"/>
    <col min="8200" max="8200" width="4.5703125" customWidth="1"/>
    <col min="8201" max="8201" width="18.5703125" customWidth="1"/>
    <col min="8202" max="8202" width="13.140625" customWidth="1"/>
    <col min="8203" max="8203" width="14.85546875" customWidth="1"/>
    <col min="8204" max="8204" width="3.85546875" customWidth="1"/>
    <col min="8205" max="8205" width="12.85546875" customWidth="1"/>
    <col min="8206" max="8207" width="15" customWidth="1"/>
    <col min="8208" max="8209" width="11.7109375" customWidth="1"/>
    <col min="8210" max="8210" width="14.140625" customWidth="1"/>
    <col min="8212" max="8212" width="11.28515625" customWidth="1"/>
    <col min="8454" max="8454" width="18.140625" customWidth="1"/>
    <col min="8456" max="8456" width="4.5703125" customWidth="1"/>
    <col min="8457" max="8457" width="18.5703125" customWidth="1"/>
    <col min="8458" max="8458" width="13.140625" customWidth="1"/>
    <col min="8459" max="8459" width="14.85546875" customWidth="1"/>
    <col min="8460" max="8460" width="3.85546875" customWidth="1"/>
    <col min="8461" max="8461" width="12.85546875" customWidth="1"/>
    <col min="8462" max="8463" width="15" customWidth="1"/>
    <col min="8464" max="8465" width="11.7109375" customWidth="1"/>
    <col min="8466" max="8466" width="14.140625" customWidth="1"/>
    <col min="8468" max="8468" width="11.28515625" customWidth="1"/>
    <col min="8710" max="8710" width="18.140625" customWidth="1"/>
    <col min="8712" max="8712" width="4.5703125" customWidth="1"/>
    <col min="8713" max="8713" width="18.5703125" customWidth="1"/>
    <col min="8714" max="8714" width="13.140625" customWidth="1"/>
    <col min="8715" max="8715" width="14.85546875" customWidth="1"/>
    <col min="8716" max="8716" width="3.85546875" customWidth="1"/>
    <col min="8717" max="8717" width="12.85546875" customWidth="1"/>
    <col min="8718" max="8719" width="15" customWidth="1"/>
    <col min="8720" max="8721" width="11.7109375" customWidth="1"/>
    <col min="8722" max="8722" width="14.140625" customWidth="1"/>
    <col min="8724" max="8724" width="11.28515625" customWidth="1"/>
    <col min="8966" max="8966" width="18.140625" customWidth="1"/>
    <col min="8968" max="8968" width="4.5703125" customWidth="1"/>
    <col min="8969" max="8969" width="18.5703125" customWidth="1"/>
    <col min="8970" max="8970" width="13.140625" customWidth="1"/>
    <col min="8971" max="8971" width="14.85546875" customWidth="1"/>
    <col min="8972" max="8972" width="3.85546875" customWidth="1"/>
    <col min="8973" max="8973" width="12.85546875" customWidth="1"/>
    <col min="8974" max="8975" width="15" customWidth="1"/>
    <col min="8976" max="8977" width="11.7109375" customWidth="1"/>
    <col min="8978" max="8978" width="14.140625" customWidth="1"/>
    <col min="8980" max="8980" width="11.28515625" customWidth="1"/>
    <col min="9222" max="9222" width="18.140625" customWidth="1"/>
    <col min="9224" max="9224" width="4.5703125" customWidth="1"/>
    <col min="9225" max="9225" width="18.5703125" customWidth="1"/>
    <col min="9226" max="9226" width="13.140625" customWidth="1"/>
    <col min="9227" max="9227" width="14.85546875" customWidth="1"/>
    <col min="9228" max="9228" width="3.85546875" customWidth="1"/>
    <col min="9229" max="9229" width="12.85546875" customWidth="1"/>
    <col min="9230" max="9231" width="15" customWidth="1"/>
    <col min="9232" max="9233" width="11.7109375" customWidth="1"/>
    <col min="9234" max="9234" width="14.140625" customWidth="1"/>
    <col min="9236" max="9236" width="11.28515625" customWidth="1"/>
    <col min="9478" max="9478" width="18.140625" customWidth="1"/>
    <col min="9480" max="9480" width="4.5703125" customWidth="1"/>
    <col min="9481" max="9481" width="18.5703125" customWidth="1"/>
    <col min="9482" max="9482" width="13.140625" customWidth="1"/>
    <col min="9483" max="9483" width="14.85546875" customWidth="1"/>
    <col min="9484" max="9484" width="3.85546875" customWidth="1"/>
    <col min="9485" max="9485" width="12.85546875" customWidth="1"/>
    <col min="9486" max="9487" width="15" customWidth="1"/>
    <col min="9488" max="9489" width="11.7109375" customWidth="1"/>
    <col min="9490" max="9490" width="14.140625" customWidth="1"/>
    <col min="9492" max="9492" width="11.28515625" customWidth="1"/>
    <col min="9734" max="9734" width="18.140625" customWidth="1"/>
    <col min="9736" max="9736" width="4.5703125" customWidth="1"/>
    <col min="9737" max="9737" width="18.5703125" customWidth="1"/>
    <col min="9738" max="9738" width="13.140625" customWidth="1"/>
    <col min="9739" max="9739" width="14.85546875" customWidth="1"/>
    <col min="9740" max="9740" width="3.85546875" customWidth="1"/>
    <col min="9741" max="9741" width="12.85546875" customWidth="1"/>
    <col min="9742" max="9743" width="15" customWidth="1"/>
    <col min="9744" max="9745" width="11.7109375" customWidth="1"/>
    <col min="9746" max="9746" width="14.140625" customWidth="1"/>
    <col min="9748" max="9748" width="11.28515625" customWidth="1"/>
    <col min="9990" max="9990" width="18.140625" customWidth="1"/>
    <col min="9992" max="9992" width="4.5703125" customWidth="1"/>
    <col min="9993" max="9993" width="18.5703125" customWidth="1"/>
    <col min="9994" max="9994" width="13.140625" customWidth="1"/>
    <col min="9995" max="9995" width="14.85546875" customWidth="1"/>
    <col min="9996" max="9996" width="3.85546875" customWidth="1"/>
    <col min="9997" max="9997" width="12.85546875" customWidth="1"/>
    <col min="9998" max="9999" width="15" customWidth="1"/>
    <col min="10000" max="10001" width="11.7109375" customWidth="1"/>
    <col min="10002" max="10002" width="14.140625" customWidth="1"/>
    <col min="10004" max="10004" width="11.28515625" customWidth="1"/>
    <col min="10246" max="10246" width="18.140625" customWidth="1"/>
    <col min="10248" max="10248" width="4.5703125" customWidth="1"/>
    <col min="10249" max="10249" width="18.5703125" customWidth="1"/>
    <col min="10250" max="10250" width="13.140625" customWidth="1"/>
    <col min="10251" max="10251" width="14.85546875" customWidth="1"/>
    <col min="10252" max="10252" width="3.85546875" customWidth="1"/>
    <col min="10253" max="10253" width="12.85546875" customWidth="1"/>
    <col min="10254" max="10255" width="15" customWidth="1"/>
    <col min="10256" max="10257" width="11.7109375" customWidth="1"/>
    <col min="10258" max="10258" width="14.140625" customWidth="1"/>
    <col min="10260" max="10260" width="11.28515625" customWidth="1"/>
    <col min="10502" max="10502" width="18.140625" customWidth="1"/>
    <col min="10504" max="10504" width="4.5703125" customWidth="1"/>
    <col min="10505" max="10505" width="18.5703125" customWidth="1"/>
    <col min="10506" max="10506" width="13.140625" customWidth="1"/>
    <col min="10507" max="10507" width="14.85546875" customWidth="1"/>
    <col min="10508" max="10508" width="3.85546875" customWidth="1"/>
    <col min="10509" max="10509" width="12.85546875" customWidth="1"/>
    <col min="10510" max="10511" width="15" customWidth="1"/>
    <col min="10512" max="10513" width="11.7109375" customWidth="1"/>
    <col min="10514" max="10514" width="14.140625" customWidth="1"/>
    <col min="10516" max="10516" width="11.28515625" customWidth="1"/>
    <col min="10758" max="10758" width="18.140625" customWidth="1"/>
    <col min="10760" max="10760" width="4.5703125" customWidth="1"/>
    <col min="10761" max="10761" width="18.5703125" customWidth="1"/>
    <col min="10762" max="10762" width="13.140625" customWidth="1"/>
    <col min="10763" max="10763" width="14.85546875" customWidth="1"/>
    <col min="10764" max="10764" width="3.85546875" customWidth="1"/>
    <col min="10765" max="10765" width="12.85546875" customWidth="1"/>
    <col min="10766" max="10767" width="15" customWidth="1"/>
    <col min="10768" max="10769" width="11.7109375" customWidth="1"/>
    <col min="10770" max="10770" width="14.140625" customWidth="1"/>
    <col min="10772" max="10772" width="11.28515625" customWidth="1"/>
    <col min="11014" max="11014" width="18.140625" customWidth="1"/>
    <col min="11016" max="11016" width="4.5703125" customWidth="1"/>
    <col min="11017" max="11017" width="18.5703125" customWidth="1"/>
    <col min="11018" max="11018" width="13.140625" customWidth="1"/>
    <col min="11019" max="11019" width="14.85546875" customWidth="1"/>
    <col min="11020" max="11020" width="3.85546875" customWidth="1"/>
    <col min="11021" max="11021" width="12.85546875" customWidth="1"/>
    <col min="11022" max="11023" width="15" customWidth="1"/>
    <col min="11024" max="11025" width="11.7109375" customWidth="1"/>
    <col min="11026" max="11026" width="14.140625" customWidth="1"/>
    <col min="11028" max="11028" width="11.28515625" customWidth="1"/>
    <col min="11270" max="11270" width="18.140625" customWidth="1"/>
    <col min="11272" max="11272" width="4.5703125" customWidth="1"/>
    <col min="11273" max="11273" width="18.5703125" customWidth="1"/>
    <col min="11274" max="11274" width="13.140625" customWidth="1"/>
    <col min="11275" max="11275" width="14.85546875" customWidth="1"/>
    <col min="11276" max="11276" width="3.85546875" customWidth="1"/>
    <col min="11277" max="11277" width="12.85546875" customWidth="1"/>
    <col min="11278" max="11279" width="15" customWidth="1"/>
    <col min="11280" max="11281" width="11.7109375" customWidth="1"/>
    <col min="11282" max="11282" width="14.140625" customWidth="1"/>
    <col min="11284" max="11284" width="11.28515625" customWidth="1"/>
    <col min="11526" max="11526" width="18.140625" customWidth="1"/>
    <col min="11528" max="11528" width="4.5703125" customWidth="1"/>
    <col min="11529" max="11529" width="18.5703125" customWidth="1"/>
    <col min="11530" max="11530" width="13.140625" customWidth="1"/>
    <col min="11531" max="11531" width="14.85546875" customWidth="1"/>
    <col min="11532" max="11532" width="3.85546875" customWidth="1"/>
    <col min="11533" max="11533" width="12.85546875" customWidth="1"/>
    <col min="11534" max="11535" width="15" customWidth="1"/>
    <col min="11536" max="11537" width="11.7109375" customWidth="1"/>
    <col min="11538" max="11538" width="14.140625" customWidth="1"/>
    <col min="11540" max="11540" width="11.28515625" customWidth="1"/>
    <col min="11782" max="11782" width="18.140625" customWidth="1"/>
    <col min="11784" max="11784" width="4.5703125" customWidth="1"/>
    <col min="11785" max="11785" width="18.5703125" customWidth="1"/>
    <col min="11786" max="11786" width="13.140625" customWidth="1"/>
    <col min="11787" max="11787" width="14.85546875" customWidth="1"/>
    <col min="11788" max="11788" width="3.85546875" customWidth="1"/>
    <col min="11789" max="11789" width="12.85546875" customWidth="1"/>
    <col min="11790" max="11791" width="15" customWidth="1"/>
    <col min="11792" max="11793" width="11.7109375" customWidth="1"/>
    <col min="11794" max="11794" width="14.140625" customWidth="1"/>
    <col min="11796" max="11796" width="11.28515625" customWidth="1"/>
    <col min="12038" max="12038" width="18.140625" customWidth="1"/>
    <col min="12040" max="12040" width="4.5703125" customWidth="1"/>
    <col min="12041" max="12041" width="18.5703125" customWidth="1"/>
    <col min="12042" max="12042" width="13.140625" customWidth="1"/>
    <col min="12043" max="12043" width="14.85546875" customWidth="1"/>
    <col min="12044" max="12044" width="3.85546875" customWidth="1"/>
    <col min="12045" max="12045" width="12.85546875" customWidth="1"/>
    <col min="12046" max="12047" width="15" customWidth="1"/>
    <col min="12048" max="12049" width="11.7109375" customWidth="1"/>
    <col min="12050" max="12050" width="14.140625" customWidth="1"/>
    <col min="12052" max="12052" width="11.28515625" customWidth="1"/>
    <col min="12294" max="12294" width="18.140625" customWidth="1"/>
    <col min="12296" max="12296" width="4.5703125" customWidth="1"/>
    <col min="12297" max="12297" width="18.5703125" customWidth="1"/>
    <col min="12298" max="12298" width="13.140625" customWidth="1"/>
    <col min="12299" max="12299" width="14.85546875" customWidth="1"/>
    <col min="12300" max="12300" width="3.85546875" customWidth="1"/>
    <col min="12301" max="12301" width="12.85546875" customWidth="1"/>
    <col min="12302" max="12303" width="15" customWidth="1"/>
    <col min="12304" max="12305" width="11.7109375" customWidth="1"/>
    <col min="12306" max="12306" width="14.140625" customWidth="1"/>
    <col min="12308" max="12308" width="11.28515625" customWidth="1"/>
    <col min="12550" max="12550" width="18.140625" customWidth="1"/>
    <col min="12552" max="12552" width="4.5703125" customWidth="1"/>
    <col min="12553" max="12553" width="18.5703125" customWidth="1"/>
    <col min="12554" max="12554" width="13.140625" customWidth="1"/>
    <col min="12555" max="12555" width="14.85546875" customWidth="1"/>
    <col min="12556" max="12556" width="3.85546875" customWidth="1"/>
    <col min="12557" max="12557" width="12.85546875" customWidth="1"/>
    <col min="12558" max="12559" width="15" customWidth="1"/>
    <col min="12560" max="12561" width="11.7109375" customWidth="1"/>
    <col min="12562" max="12562" width="14.140625" customWidth="1"/>
    <col min="12564" max="12564" width="11.28515625" customWidth="1"/>
    <col min="12806" max="12806" width="18.140625" customWidth="1"/>
    <col min="12808" max="12808" width="4.5703125" customWidth="1"/>
    <col min="12809" max="12809" width="18.5703125" customWidth="1"/>
    <col min="12810" max="12810" width="13.140625" customWidth="1"/>
    <col min="12811" max="12811" width="14.85546875" customWidth="1"/>
    <col min="12812" max="12812" width="3.85546875" customWidth="1"/>
    <col min="12813" max="12813" width="12.85546875" customWidth="1"/>
    <col min="12814" max="12815" width="15" customWidth="1"/>
    <col min="12816" max="12817" width="11.7109375" customWidth="1"/>
    <col min="12818" max="12818" width="14.140625" customWidth="1"/>
    <col min="12820" max="12820" width="11.28515625" customWidth="1"/>
    <col min="13062" max="13062" width="18.140625" customWidth="1"/>
    <col min="13064" max="13064" width="4.5703125" customWidth="1"/>
    <col min="13065" max="13065" width="18.5703125" customWidth="1"/>
    <col min="13066" max="13066" width="13.140625" customWidth="1"/>
    <col min="13067" max="13067" width="14.85546875" customWidth="1"/>
    <col min="13068" max="13068" width="3.85546875" customWidth="1"/>
    <col min="13069" max="13069" width="12.85546875" customWidth="1"/>
    <col min="13070" max="13071" width="15" customWidth="1"/>
    <col min="13072" max="13073" width="11.7109375" customWidth="1"/>
    <col min="13074" max="13074" width="14.140625" customWidth="1"/>
    <col min="13076" max="13076" width="11.28515625" customWidth="1"/>
    <col min="13318" max="13318" width="18.140625" customWidth="1"/>
    <col min="13320" max="13320" width="4.5703125" customWidth="1"/>
    <col min="13321" max="13321" width="18.5703125" customWidth="1"/>
    <col min="13322" max="13322" width="13.140625" customWidth="1"/>
    <col min="13323" max="13323" width="14.85546875" customWidth="1"/>
    <col min="13324" max="13324" width="3.85546875" customWidth="1"/>
    <col min="13325" max="13325" width="12.85546875" customWidth="1"/>
    <col min="13326" max="13327" width="15" customWidth="1"/>
    <col min="13328" max="13329" width="11.7109375" customWidth="1"/>
    <col min="13330" max="13330" width="14.140625" customWidth="1"/>
    <col min="13332" max="13332" width="11.28515625" customWidth="1"/>
    <col min="13574" max="13574" width="18.140625" customWidth="1"/>
    <col min="13576" max="13576" width="4.5703125" customWidth="1"/>
    <col min="13577" max="13577" width="18.5703125" customWidth="1"/>
    <col min="13578" max="13578" width="13.140625" customWidth="1"/>
    <col min="13579" max="13579" width="14.85546875" customWidth="1"/>
    <col min="13580" max="13580" width="3.85546875" customWidth="1"/>
    <col min="13581" max="13581" width="12.85546875" customWidth="1"/>
    <col min="13582" max="13583" width="15" customWidth="1"/>
    <col min="13584" max="13585" width="11.7109375" customWidth="1"/>
    <col min="13586" max="13586" width="14.140625" customWidth="1"/>
    <col min="13588" max="13588" width="11.28515625" customWidth="1"/>
    <col min="13830" max="13830" width="18.140625" customWidth="1"/>
    <col min="13832" max="13832" width="4.5703125" customWidth="1"/>
    <col min="13833" max="13833" width="18.5703125" customWidth="1"/>
    <col min="13834" max="13834" width="13.140625" customWidth="1"/>
    <col min="13835" max="13835" width="14.85546875" customWidth="1"/>
    <col min="13836" max="13836" width="3.85546875" customWidth="1"/>
    <col min="13837" max="13837" width="12.85546875" customWidth="1"/>
    <col min="13838" max="13839" width="15" customWidth="1"/>
    <col min="13840" max="13841" width="11.7109375" customWidth="1"/>
    <col min="13842" max="13842" width="14.140625" customWidth="1"/>
    <col min="13844" max="13844" width="11.28515625" customWidth="1"/>
    <col min="14086" max="14086" width="18.140625" customWidth="1"/>
    <col min="14088" max="14088" width="4.5703125" customWidth="1"/>
    <col min="14089" max="14089" width="18.5703125" customWidth="1"/>
    <col min="14090" max="14090" width="13.140625" customWidth="1"/>
    <col min="14091" max="14091" width="14.85546875" customWidth="1"/>
    <col min="14092" max="14092" width="3.85546875" customWidth="1"/>
    <col min="14093" max="14093" width="12.85546875" customWidth="1"/>
    <col min="14094" max="14095" width="15" customWidth="1"/>
    <col min="14096" max="14097" width="11.7109375" customWidth="1"/>
    <col min="14098" max="14098" width="14.140625" customWidth="1"/>
    <col min="14100" max="14100" width="11.28515625" customWidth="1"/>
    <col min="14342" max="14342" width="18.140625" customWidth="1"/>
    <col min="14344" max="14344" width="4.5703125" customWidth="1"/>
    <col min="14345" max="14345" width="18.5703125" customWidth="1"/>
    <col min="14346" max="14346" width="13.140625" customWidth="1"/>
    <col min="14347" max="14347" width="14.85546875" customWidth="1"/>
    <col min="14348" max="14348" width="3.85546875" customWidth="1"/>
    <col min="14349" max="14349" width="12.85546875" customWidth="1"/>
    <col min="14350" max="14351" width="15" customWidth="1"/>
    <col min="14352" max="14353" width="11.7109375" customWidth="1"/>
    <col min="14354" max="14354" width="14.140625" customWidth="1"/>
    <col min="14356" max="14356" width="11.28515625" customWidth="1"/>
    <col min="14598" max="14598" width="18.140625" customWidth="1"/>
    <col min="14600" max="14600" width="4.5703125" customWidth="1"/>
    <col min="14601" max="14601" width="18.5703125" customWidth="1"/>
    <col min="14602" max="14602" width="13.140625" customWidth="1"/>
    <col min="14603" max="14603" width="14.85546875" customWidth="1"/>
    <col min="14604" max="14604" width="3.85546875" customWidth="1"/>
    <col min="14605" max="14605" width="12.85546875" customWidth="1"/>
    <col min="14606" max="14607" width="15" customWidth="1"/>
    <col min="14608" max="14609" width="11.7109375" customWidth="1"/>
    <col min="14610" max="14610" width="14.140625" customWidth="1"/>
    <col min="14612" max="14612" width="11.28515625" customWidth="1"/>
    <col min="14854" max="14854" width="18.140625" customWidth="1"/>
    <col min="14856" max="14856" width="4.5703125" customWidth="1"/>
    <col min="14857" max="14857" width="18.5703125" customWidth="1"/>
    <col min="14858" max="14858" width="13.140625" customWidth="1"/>
    <col min="14859" max="14859" width="14.85546875" customWidth="1"/>
    <col min="14860" max="14860" width="3.85546875" customWidth="1"/>
    <col min="14861" max="14861" width="12.85546875" customWidth="1"/>
    <col min="14862" max="14863" width="15" customWidth="1"/>
    <col min="14864" max="14865" width="11.7109375" customWidth="1"/>
    <col min="14866" max="14866" width="14.140625" customWidth="1"/>
    <col min="14868" max="14868" width="11.28515625" customWidth="1"/>
    <col min="15110" max="15110" width="18.140625" customWidth="1"/>
    <col min="15112" max="15112" width="4.5703125" customWidth="1"/>
    <col min="15113" max="15113" width="18.5703125" customWidth="1"/>
    <col min="15114" max="15114" width="13.140625" customWidth="1"/>
    <col min="15115" max="15115" width="14.85546875" customWidth="1"/>
    <col min="15116" max="15116" width="3.85546875" customWidth="1"/>
    <col min="15117" max="15117" width="12.85546875" customWidth="1"/>
    <col min="15118" max="15119" width="15" customWidth="1"/>
    <col min="15120" max="15121" width="11.7109375" customWidth="1"/>
    <col min="15122" max="15122" width="14.140625" customWidth="1"/>
    <col min="15124" max="15124" width="11.28515625" customWidth="1"/>
    <col min="15366" max="15366" width="18.140625" customWidth="1"/>
    <col min="15368" max="15368" width="4.5703125" customWidth="1"/>
    <col min="15369" max="15369" width="18.5703125" customWidth="1"/>
    <col min="15370" max="15370" width="13.140625" customWidth="1"/>
    <col min="15371" max="15371" width="14.85546875" customWidth="1"/>
    <col min="15372" max="15372" width="3.85546875" customWidth="1"/>
    <col min="15373" max="15373" width="12.85546875" customWidth="1"/>
    <col min="15374" max="15375" width="15" customWidth="1"/>
    <col min="15376" max="15377" width="11.7109375" customWidth="1"/>
    <col min="15378" max="15378" width="14.140625" customWidth="1"/>
    <col min="15380" max="15380" width="11.28515625" customWidth="1"/>
    <col min="15622" max="15622" width="18.140625" customWidth="1"/>
    <col min="15624" max="15624" width="4.5703125" customWidth="1"/>
    <col min="15625" max="15625" width="18.5703125" customWidth="1"/>
    <col min="15626" max="15626" width="13.140625" customWidth="1"/>
    <col min="15627" max="15627" width="14.85546875" customWidth="1"/>
    <col min="15628" max="15628" width="3.85546875" customWidth="1"/>
    <col min="15629" max="15629" width="12.85546875" customWidth="1"/>
    <col min="15630" max="15631" width="15" customWidth="1"/>
    <col min="15632" max="15633" width="11.7109375" customWidth="1"/>
    <col min="15634" max="15634" width="14.140625" customWidth="1"/>
    <col min="15636" max="15636" width="11.28515625" customWidth="1"/>
    <col min="15878" max="15878" width="18.140625" customWidth="1"/>
    <col min="15880" max="15880" width="4.5703125" customWidth="1"/>
    <col min="15881" max="15881" width="18.5703125" customWidth="1"/>
    <col min="15882" max="15882" width="13.140625" customWidth="1"/>
    <col min="15883" max="15883" width="14.85546875" customWidth="1"/>
    <col min="15884" max="15884" width="3.85546875" customWidth="1"/>
    <col min="15885" max="15885" width="12.85546875" customWidth="1"/>
    <col min="15886" max="15887" width="15" customWidth="1"/>
    <col min="15888" max="15889" width="11.7109375" customWidth="1"/>
    <col min="15890" max="15890" width="14.140625" customWidth="1"/>
    <col min="15892" max="15892" width="11.28515625" customWidth="1"/>
    <col min="16134" max="16134" width="18.140625" customWidth="1"/>
    <col min="16136" max="16136" width="4.5703125" customWidth="1"/>
    <col min="16137" max="16137" width="18.5703125" customWidth="1"/>
    <col min="16138" max="16138" width="13.140625" customWidth="1"/>
    <col min="16139" max="16139" width="14.85546875" customWidth="1"/>
    <col min="16140" max="16140" width="3.85546875" customWidth="1"/>
    <col min="16141" max="16141" width="12.85546875" customWidth="1"/>
    <col min="16142" max="16143" width="15" customWidth="1"/>
    <col min="16144" max="16145" width="11.7109375" customWidth="1"/>
    <col min="16146" max="16146" width="14.140625" customWidth="1"/>
    <col min="16148" max="16148" width="11.28515625" customWidth="1"/>
  </cols>
  <sheetData>
    <row r="1" spans="1:24" x14ac:dyDescent="0.25">
      <c r="B1" s="113">
        <v>2015</v>
      </c>
      <c r="C1" s="115">
        <v>2015</v>
      </c>
      <c r="E1" s="115">
        <v>2013</v>
      </c>
      <c r="F1" s="115">
        <v>2012</v>
      </c>
      <c r="J1" s="114">
        <v>2015</v>
      </c>
      <c r="L1" s="22">
        <v>2014</v>
      </c>
      <c r="M1" s="22">
        <v>2014</v>
      </c>
      <c r="N1" s="22">
        <v>2013</v>
      </c>
      <c r="O1" s="22">
        <v>2013</v>
      </c>
      <c r="P1" s="22">
        <v>2012</v>
      </c>
    </row>
    <row r="2" spans="1:24" x14ac:dyDescent="0.25">
      <c r="B2" s="22" t="s">
        <v>256</v>
      </c>
      <c r="C2" s="115" t="s">
        <v>256</v>
      </c>
      <c r="E2" s="115" t="s">
        <v>266</v>
      </c>
      <c r="F2" s="22" t="s">
        <v>273</v>
      </c>
      <c r="J2" s="114" t="s">
        <v>255</v>
      </c>
      <c r="K2" s="119">
        <v>2015</v>
      </c>
      <c r="L2" s="22" t="s">
        <v>255</v>
      </c>
      <c r="M2" s="22" t="s">
        <v>255</v>
      </c>
      <c r="N2" s="22" t="s">
        <v>255</v>
      </c>
      <c r="O2" s="22" t="s">
        <v>268</v>
      </c>
      <c r="P2" s="22" t="s">
        <v>255</v>
      </c>
      <c r="Q2" s="22">
        <v>2012</v>
      </c>
    </row>
    <row r="3" spans="1:24" x14ac:dyDescent="0.25">
      <c r="B3" s="22" t="s">
        <v>257</v>
      </c>
      <c r="C3" s="115" t="s">
        <v>268</v>
      </c>
      <c r="D3" s="115" t="s">
        <v>266</v>
      </c>
      <c r="E3" s="115" t="s">
        <v>267</v>
      </c>
      <c r="F3" s="22" t="s">
        <v>274</v>
      </c>
      <c r="G3" s="22" t="s">
        <v>262</v>
      </c>
      <c r="H3" t="s">
        <v>266</v>
      </c>
      <c r="J3" s="114" t="s">
        <v>257</v>
      </c>
      <c r="K3" s="119" t="s">
        <v>267</v>
      </c>
      <c r="L3" s="22" t="s">
        <v>257</v>
      </c>
      <c r="M3" s="22" t="s">
        <v>257</v>
      </c>
      <c r="N3" s="22" t="s">
        <v>257</v>
      </c>
      <c r="O3" s="22" t="s">
        <v>269</v>
      </c>
      <c r="P3" s="22" t="s">
        <v>257</v>
      </c>
      <c r="Q3" s="22" t="s">
        <v>267</v>
      </c>
      <c r="R3" s="50" t="s">
        <v>288</v>
      </c>
      <c r="W3" s="22">
        <v>2009</v>
      </c>
    </row>
    <row r="4" spans="1:24" x14ac:dyDescent="0.25">
      <c r="B4" s="22" t="s">
        <v>258</v>
      </c>
      <c r="C4" s="115" t="s">
        <v>463</v>
      </c>
      <c r="D4" s="26">
        <v>41365</v>
      </c>
      <c r="E4" s="115"/>
      <c r="F4" s="22" t="s">
        <v>275</v>
      </c>
      <c r="G4" s="26">
        <v>41000</v>
      </c>
      <c r="H4" t="s">
        <v>267</v>
      </c>
      <c r="J4" s="114" t="s">
        <v>258</v>
      </c>
      <c r="K4" s="119" t="s">
        <v>515</v>
      </c>
      <c r="L4" s="22" t="s">
        <v>258</v>
      </c>
      <c r="M4" s="22" t="s">
        <v>516</v>
      </c>
      <c r="N4" s="22" t="s">
        <v>258</v>
      </c>
      <c r="O4" s="22" t="s">
        <v>255</v>
      </c>
      <c r="P4" s="22" t="s">
        <v>258</v>
      </c>
      <c r="W4" s="22" t="s">
        <v>263</v>
      </c>
    </row>
    <row r="5" spans="1:24" x14ac:dyDescent="0.25">
      <c r="A5" s="27" t="s">
        <v>5</v>
      </c>
      <c r="B5" s="23">
        <f>'APPENDIX A'!C9</f>
        <v>9.7521440823327615E-2</v>
      </c>
      <c r="C5" s="121">
        <f>B5*E5</f>
        <v>1.4740419885619748E-3</v>
      </c>
      <c r="D5" s="120">
        <v>4833732</v>
      </c>
      <c r="E5">
        <f>D5/$D$58</f>
        <v>1.5115055480285487E-2</v>
      </c>
      <c r="F5">
        <f t="shared" ref="F5:F44" si="0">B5*H5</f>
        <v>1.4980235692650915E-3</v>
      </c>
      <c r="G5" s="37">
        <v>4822023</v>
      </c>
      <c r="H5">
        <f>G5/$G$58</f>
        <v>1.5360966333331252E-2</v>
      </c>
      <c r="J5" s="23">
        <v>9.5000000000000001E-2</v>
      </c>
      <c r="K5" s="122">
        <f>E5*J5</f>
        <v>1.4359302706271214E-3</v>
      </c>
      <c r="L5" s="49">
        <v>9.5000000000000001E-2</v>
      </c>
      <c r="M5">
        <f>H5*L5</f>
        <v>1.459291801666469E-3</v>
      </c>
      <c r="N5" s="23">
        <v>9.5000000000000001E-2</v>
      </c>
      <c r="O5" s="35">
        <f>N5*H5</f>
        <v>1.459291801666469E-3</v>
      </c>
      <c r="P5" s="23">
        <v>9.5000000000000001E-2</v>
      </c>
      <c r="Q5" s="35">
        <f>H5*P5</f>
        <v>1.459291801666469E-3</v>
      </c>
      <c r="R5" t="s">
        <v>282</v>
      </c>
      <c r="U5" s="29">
        <v>7.4534883720930228E-2</v>
      </c>
      <c r="V5" s="29">
        <f t="shared" ref="V5:V43" si="1">B5-U5</f>
        <v>2.2986557102397387E-2</v>
      </c>
      <c r="W5" s="29">
        <v>7.4059048001606745E-2</v>
      </c>
      <c r="X5" s="29">
        <f t="shared" ref="X5:X43" si="2">B5-W5</f>
        <v>2.346239282172087E-2</v>
      </c>
    </row>
    <row r="6" spans="1:24" x14ac:dyDescent="0.25">
      <c r="A6" s="27" t="s">
        <v>10</v>
      </c>
      <c r="B6" s="23">
        <f>'APPENDIX A'!C15</f>
        <v>0.12686539965694682</v>
      </c>
      <c r="C6" s="121">
        <f t="shared" ref="C6:C56" si="3">B6*E6</f>
        <v>2.9163235005158131E-4</v>
      </c>
      <c r="D6" s="120">
        <v>735132</v>
      </c>
      <c r="E6">
        <f t="shared" ref="E6:E56" si="4">D6/$D$58</f>
        <v>2.2987540404253342E-3</v>
      </c>
      <c r="F6">
        <f t="shared" si="0"/>
        <v>2.9560821718478756E-4</v>
      </c>
      <c r="G6" s="37">
        <v>731449</v>
      </c>
      <c r="H6">
        <f t="shared" ref="H6:H56" si="5">G6/$G$58</f>
        <v>2.3300932956041086E-3</v>
      </c>
      <c r="J6" s="23">
        <v>2.5000000000000001E-2</v>
      </c>
      <c r="K6" s="122">
        <f t="shared" ref="K6:K56" si="6">E6*J6</f>
        <v>5.7468851010633354E-5</v>
      </c>
      <c r="L6" s="49">
        <v>2.5000000000000001E-2</v>
      </c>
      <c r="M6">
        <f t="shared" ref="M6:M56" si="7">H6*L6</f>
        <v>5.8252332390102717E-5</v>
      </c>
      <c r="N6" s="23">
        <v>2.5000000000000001E-2</v>
      </c>
      <c r="O6" s="35">
        <f t="shared" ref="O6:O56" si="8">N6*H6</f>
        <v>5.8252332390102717E-5</v>
      </c>
      <c r="P6" s="23">
        <v>2.5000000000000001E-2</v>
      </c>
      <c r="Q6" s="35">
        <f t="shared" ref="Q6:Q56" si="9">H6*P6</f>
        <v>5.8252332390102717E-5</v>
      </c>
      <c r="R6" t="s">
        <v>283</v>
      </c>
      <c r="U6" s="29">
        <v>6.6903503322259139E-2</v>
      </c>
      <c r="V6" s="29">
        <f t="shared" si="1"/>
        <v>5.9961896334687681E-2</v>
      </c>
      <c r="W6" s="29">
        <v>6.5747902289616397E-2</v>
      </c>
      <c r="X6" s="29">
        <f t="shared" si="2"/>
        <v>6.1117497367330423E-2</v>
      </c>
    </row>
    <row r="7" spans="1:24" x14ac:dyDescent="0.25">
      <c r="A7" s="27" t="s">
        <v>16</v>
      </c>
      <c r="B7" s="23">
        <f>'APPENDIX A'!C22</f>
        <v>0.11978816466552315</v>
      </c>
      <c r="C7" s="121">
        <f t="shared" si="3"/>
        <v>2.4821808330867602E-3</v>
      </c>
      <c r="D7" s="120">
        <v>6626624</v>
      </c>
      <c r="E7">
        <f t="shared" si="4"/>
        <v>2.0721419682967805E-2</v>
      </c>
      <c r="F7">
        <f t="shared" si="0"/>
        <v>2.5006921927899846E-3</v>
      </c>
      <c r="G7" s="37">
        <v>6553255</v>
      </c>
      <c r="H7">
        <f t="shared" si="5"/>
        <v>2.087595381206906E-2</v>
      </c>
      <c r="J7" s="23">
        <v>8.2000000000000003E-2</v>
      </c>
      <c r="K7" s="122">
        <f t="shared" si="6"/>
        <v>1.6991564140033601E-3</v>
      </c>
      <c r="L7" s="49">
        <v>8.2000000000000003E-2</v>
      </c>
      <c r="M7">
        <f t="shared" si="7"/>
        <v>1.711828212589663E-3</v>
      </c>
      <c r="N7" s="23">
        <v>6.2E-2</v>
      </c>
      <c r="O7" s="35">
        <f t="shared" si="8"/>
        <v>1.2943091363482818E-3</v>
      </c>
      <c r="P7" s="23">
        <v>7.1999999999999995E-2</v>
      </c>
      <c r="Q7" s="35">
        <f t="shared" si="9"/>
        <v>1.5030686744689722E-3</v>
      </c>
      <c r="R7" t="s">
        <v>284</v>
      </c>
      <c r="U7" s="30">
        <v>0.10965282392026579</v>
      </c>
      <c r="V7" s="30">
        <f t="shared" si="1"/>
        <v>1.0135340745257362E-2</v>
      </c>
      <c r="W7" s="30">
        <v>9.9516870857601927E-2</v>
      </c>
      <c r="X7" s="30">
        <f t="shared" si="2"/>
        <v>2.0271293807921226E-2</v>
      </c>
    </row>
    <row r="8" spans="1:24" x14ac:dyDescent="0.25">
      <c r="A8" s="27" t="s">
        <v>23</v>
      </c>
      <c r="B8" s="23">
        <f>'APPENDIX A'!C30</f>
        <v>0.14313916809605487</v>
      </c>
      <c r="C8" s="121">
        <f t="shared" si="3"/>
        <v>1.3246019003390072E-3</v>
      </c>
      <c r="D8" s="120">
        <v>2959373</v>
      </c>
      <c r="E8">
        <f t="shared" si="4"/>
        <v>9.2539443812480505E-3</v>
      </c>
      <c r="F8">
        <f t="shared" si="0"/>
        <v>1.3447508048581912E-3</v>
      </c>
      <c r="G8" s="37">
        <v>2949131</v>
      </c>
      <c r="H8">
        <f t="shared" si="5"/>
        <v>9.3947088190130014E-3</v>
      </c>
      <c r="J8" s="23">
        <v>9.375E-2</v>
      </c>
      <c r="K8" s="122">
        <f t="shared" si="6"/>
        <v>8.6755728574200474E-4</v>
      </c>
      <c r="L8" s="49">
        <v>9.3799999999999994E-2</v>
      </c>
      <c r="M8">
        <f t="shared" si="7"/>
        <v>8.8122368722341944E-4</v>
      </c>
      <c r="N8" s="23">
        <v>9.3799999999999994E-2</v>
      </c>
      <c r="O8" s="35">
        <f t="shared" si="8"/>
        <v>8.8122368722341944E-4</v>
      </c>
      <c r="P8" s="23">
        <v>8.8800000000000004E-2</v>
      </c>
      <c r="Q8" s="35">
        <f t="shared" si="9"/>
        <v>8.3425014312835458E-4</v>
      </c>
      <c r="R8" t="s">
        <v>285</v>
      </c>
      <c r="U8" s="29">
        <v>0.10767517774086378</v>
      </c>
      <c r="V8" s="29">
        <f t="shared" si="1"/>
        <v>3.5463990355191086E-2</v>
      </c>
      <c r="W8" s="29">
        <v>0.10723333028720626</v>
      </c>
      <c r="X8" s="29">
        <f t="shared" si="2"/>
        <v>3.5905837808848609E-2</v>
      </c>
    </row>
    <row r="9" spans="1:24" x14ac:dyDescent="0.25">
      <c r="A9" s="31" t="s">
        <v>31</v>
      </c>
      <c r="B9" s="24">
        <f>'APPENDIX A'!C41</f>
        <v>0.11600395999999999</v>
      </c>
      <c r="C9" s="121">
        <f t="shared" si="3"/>
        <v>1.3904884152461777E-2</v>
      </c>
      <c r="D9" s="120">
        <v>38332521</v>
      </c>
      <c r="E9">
        <f t="shared" si="4"/>
        <v>0.11986559900594582</v>
      </c>
      <c r="F9">
        <f t="shared" si="0"/>
        <v>1.4057850117384999E-2</v>
      </c>
      <c r="G9" s="37">
        <v>38041430</v>
      </c>
      <c r="H9">
        <f t="shared" si="5"/>
        <v>0.12118422610215204</v>
      </c>
      <c r="J9" s="23">
        <v>8.7499999999999994E-2</v>
      </c>
      <c r="K9" s="122">
        <f t="shared" si="6"/>
        <v>1.0488239913020258E-2</v>
      </c>
      <c r="L9" s="49">
        <v>8.7499999999999994E-2</v>
      </c>
      <c r="M9">
        <f t="shared" si="7"/>
        <v>1.0603619783938303E-2</v>
      </c>
      <c r="N9" s="23">
        <v>8.7499999999999994E-2</v>
      </c>
      <c r="O9" s="35">
        <f t="shared" si="8"/>
        <v>1.0603619783938303E-2</v>
      </c>
      <c r="P9" s="23">
        <v>8.2500000000000004E-2</v>
      </c>
      <c r="Q9" s="35">
        <f t="shared" si="9"/>
        <v>9.997698653427544E-3</v>
      </c>
      <c r="R9" s="25" t="s">
        <v>286</v>
      </c>
      <c r="S9" s="25"/>
      <c r="U9" s="29">
        <v>0.10669999999999999</v>
      </c>
      <c r="V9" s="29">
        <f t="shared" si="1"/>
        <v>9.30396E-3</v>
      </c>
      <c r="W9" s="29">
        <v>0.1074</v>
      </c>
      <c r="X9" s="29">
        <f t="shared" si="2"/>
        <v>8.6039599999999938E-3</v>
      </c>
    </row>
    <row r="10" spans="1:24" x14ac:dyDescent="0.25">
      <c r="A10" s="27" t="s">
        <v>42</v>
      </c>
      <c r="B10" s="23">
        <f>'APPENDIX A'!C48</f>
        <v>0.10776257632933103</v>
      </c>
      <c r="C10" s="121">
        <f t="shared" si="3"/>
        <v>1.7752975929604036E-3</v>
      </c>
      <c r="D10" s="120">
        <v>5268367</v>
      </c>
      <c r="E10">
        <f t="shared" si="4"/>
        <v>1.6474156923781708E-2</v>
      </c>
      <c r="F10">
        <f t="shared" si="0"/>
        <v>1.7808289213176441E-3</v>
      </c>
      <c r="G10" s="37">
        <v>5187582</v>
      </c>
      <c r="H10">
        <f t="shared" si="5"/>
        <v>1.6525485766740476E-2</v>
      </c>
      <c r="J10" s="23">
        <v>7.6399999999999996E-2</v>
      </c>
      <c r="K10" s="122">
        <f t="shared" si="6"/>
        <v>1.2586255889769223E-3</v>
      </c>
      <c r="L10" s="49">
        <v>7.6300000000000007E-2</v>
      </c>
      <c r="M10">
        <f t="shared" si="7"/>
        <v>1.2608945640022985E-3</v>
      </c>
      <c r="N10" s="23">
        <v>7.6300000000000007E-2</v>
      </c>
      <c r="O10" s="35">
        <f t="shared" si="8"/>
        <v>1.2608945640022985E-3</v>
      </c>
      <c r="P10" s="23">
        <v>7.51E-2</v>
      </c>
      <c r="Q10" s="35">
        <f t="shared" si="9"/>
        <v>1.2410639810822098E-3</v>
      </c>
      <c r="R10" t="s">
        <v>287</v>
      </c>
      <c r="U10" s="29">
        <v>0.10397288372093023</v>
      </c>
      <c r="V10" s="29">
        <f t="shared" si="1"/>
        <v>3.7896926084007992E-3</v>
      </c>
      <c r="W10" s="29">
        <v>0.10349704800160675</v>
      </c>
      <c r="X10" s="29">
        <f t="shared" si="2"/>
        <v>4.2655283277242828E-3</v>
      </c>
    </row>
    <row r="11" spans="1:24" x14ac:dyDescent="0.25">
      <c r="A11" s="27" t="s">
        <v>48</v>
      </c>
      <c r="B11" s="23">
        <f>'APPENDIX A'!C53</f>
        <v>7.4434819897084045E-2</v>
      </c>
      <c r="C11" s="121">
        <f t="shared" si="3"/>
        <v>8.3701388861837913E-4</v>
      </c>
      <c r="D11" s="120">
        <v>3596080</v>
      </c>
      <c r="E11">
        <f t="shared" si="4"/>
        <v>1.1244923945213561E-2</v>
      </c>
      <c r="F11">
        <f t="shared" si="0"/>
        <v>8.5133762195866108E-4</v>
      </c>
      <c r="G11" s="37">
        <v>3590347</v>
      </c>
      <c r="H11">
        <f t="shared" si="5"/>
        <v>1.1437357182240081E-2</v>
      </c>
      <c r="J11" s="23">
        <v>6.3500000000000001E-2</v>
      </c>
      <c r="K11" s="122">
        <f t="shared" si="6"/>
        <v>7.1405267052106116E-4</v>
      </c>
      <c r="L11" s="49">
        <v>6.3500000000000001E-2</v>
      </c>
      <c r="M11">
        <f t="shared" si="7"/>
        <v>7.2627218107224512E-4</v>
      </c>
      <c r="N11" s="23">
        <v>6.3500000000000001E-2</v>
      </c>
      <c r="O11" s="35">
        <f t="shared" si="8"/>
        <v>7.2627218107224512E-4</v>
      </c>
      <c r="P11" s="23">
        <v>0.06</v>
      </c>
      <c r="Q11" s="35">
        <f t="shared" si="9"/>
        <v>6.8624143093440489E-4</v>
      </c>
      <c r="R11" t="s">
        <v>289</v>
      </c>
      <c r="U11" s="29">
        <v>6.9551495016611301E-2</v>
      </c>
      <c r="V11" s="29">
        <f t="shared" si="1"/>
        <v>4.8833248804727447E-3</v>
      </c>
      <c r="W11" s="29">
        <v>6.9238802972484428E-2</v>
      </c>
      <c r="X11" s="29">
        <f t="shared" si="2"/>
        <v>5.1960169245996168E-3</v>
      </c>
    </row>
    <row r="12" spans="1:24" x14ac:dyDescent="0.25">
      <c r="A12" s="27" t="s">
        <v>260</v>
      </c>
      <c r="B12" s="23">
        <f>'APPENDIX A'!C63</f>
        <v>0.11629502572898801</v>
      </c>
      <c r="C12" s="121">
        <f t="shared" si="3"/>
        <v>2.3508373646050225E-4</v>
      </c>
      <c r="D12" s="120">
        <v>646449</v>
      </c>
      <c r="E12">
        <f t="shared" si="4"/>
        <v>2.0214427486205428E-3</v>
      </c>
      <c r="F12">
        <f t="shared" si="0"/>
        <v>2.3425527432296712E-4</v>
      </c>
      <c r="G12" s="37">
        <v>632323</v>
      </c>
      <c r="H12">
        <f t="shared" si="5"/>
        <v>2.0143189517741861E-3</v>
      </c>
      <c r="J12" s="23">
        <v>5.7500000000000002E-2</v>
      </c>
      <c r="K12" s="122">
        <f t="shared" si="6"/>
        <v>1.1623295804568121E-4</v>
      </c>
      <c r="L12" s="49">
        <v>5.7500000000000002E-2</v>
      </c>
      <c r="M12">
        <f t="shared" si="7"/>
        <v>1.158233397270157E-4</v>
      </c>
      <c r="N12" s="23">
        <v>0.06</v>
      </c>
      <c r="O12" s="35">
        <f t="shared" si="8"/>
        <v>1.2085913710645117E-4</v>
      </c>
      <c r="P12" s="23">
        <v>6.3500000000000001E-2</v>
      </c>
      <c r="Q12" s="35">
        <f t="shared" si="9"/>
        <v>1.2790925343766083E-4</v>
      </c>
      <c r="R12" t="s">
        <v>290</v>
      </c>
      <c r="U12" s="29">
        <v>0.11578073089700998</v>
      </c>
      <c r="V12" s="29">
        <f t="shared" si="1"/>
        <v>5.1429483197802661E-4</v>
      </c>
      <c r="W12" s="29">
        <v>0.11526410925888733</v>
      </c>
      <c r="X12" s="29">
        <f t="shared" si="2"/>
        <v>1.0309164701006734E-3</v>
      </c>
    </row>
    <row r="13" spans="1:24" x14ac:dyDescent="0.25">
      <c r="A13" s="27" t="s">
        <v>49</v>
      </c>
      <c r="B13" s="23">
        <f>'APPENDIX A'!C58</f>
        <v>6.2864493996569473E-2</v>
      </c>
      <c r="C13" s="121">
        <f t="shared" si="3"/>
        <v>1.8198091887312206E-4</v>
      </c>
      <c r="D13" s="120">
        <v>925749</v>
      </c>
      <c r="E13">
        <f t="shared" si="4"/>
        <v>2.894812433916239E-3</v>
      </c>
      <c r="F13">
        <f t="shared" si="0"/>
        <v>1.8365704359162108E-4</v>
      </c>
      <c r="G13" s="37">
        <v>917092</v>
      </c>
      <c r="H13">
        <f t="shared" si="5"/>
        <v>2.9214749362596205E-3</v>
      </c>
      <c r="J13" s="70">
        <v>0</v>
      </c>
      <c r="K13" s="122">
        <f t="shared" si="6"/>
        <v>0</v>
      </c>
      <c r="L13" s="49">
        <v>0</v>
      </c>
      <c r="M13">
        <f t="shared" si="7"/>
        <v>0</v>
      </c>
      <c r="N13" s="23">
        <v>0</v>
      </c>
      <c r="O13" s="35">
        <f t="shared" si="8"/>
        <v>0</v>
      </c>
      <c r="P13" s="23">
        <v>0</v>
      </c>
      <c r="Q13" s="35">
        <f t="shared" si="9"/>
        <v>0</v>
      </c>
      <c r="U13" s="30">
        <v>5.4958471760797344E-2</v>
      </c>
      <c r="V13" s="30">
        <f t="shared" si="1"/>
        <v>7.9060222357721296E-3</v>
      </c>
      <c r="W13" s="30">
        <v>5.4550612572805787E-2</v>
      </c>
      <c r="X13" s="30">
        <f t="shared" si="2"/>
        <v>8.313881423763686E-3</v>
      </c>
    </row>
    <row r="14" spans="1:24" x14ac:dyDescent="0.25">
      <c r="A14" s="31" t="s">
        <v>58</v>
      </c>
      <c r="B14" s="24">
        <f>'APPENDIX A'!C69</f>
        <v>0.14657632933104633</v>
      </c>
      <c r="C14" s="121">
        <f t="shared" si="3"/>
        <v>8.9619251021730503E-3</v>
      </c>
      <c r="D14" s="120">
        <v>19552860</v>
      </c>
      <c r="E14">
        <f t="shared" si="4"/>
        <v>6.1141694181277503E-2</v>
      </c>
      <c r="F14">
        <f t="shared" si="0"/>
        <v>9.0199795110880738E-3</v>
      </c>
      <c r="G14" s="37">
        <v>19317568</v>
      </c>
      <c r="H14">
        <f t="shared" si="5"/>
        <v>6.1537763650201818E-2</v>
      </c>
      <c r="J14" s="23">
        <v>7.2499999999999995E-2</v>
      </c>
      <c r="K14" s="122">
        <f t="shared" si="6"/>
        <v>4.4327728281426185E-3</v>
      </c>
      <c r="L14" s="49">
        <v>7.2499999999999995E-2</v>
      </c>
      <c r="M14">
        <f t="shared" si="7"/>
        <v>4.4614878646396317E-3</v>
      </c>
      <c r="N14" s="23">
        <v>7.2499999999999995E-2</v>
      </c>
      <c r="O14" s="35">
        <f t="shared" si="8"/>
        <v>4.4614878646396317E-3</v>
      </c>
      <c r="P14" s="23">
        <v>7.2499999999999995E-2</v>
      </c>
      <c r="Q14" s="35">
        <f t="shared" si="9"/>
        <v>4.4614878646396317E-3</v>
      </c>
      <c r="R14" t="s">
        <v>291</v>
      </c>
      <c r="U14" s="29">
        <v>0.16263205980066445</v>
      </c>
      <c r="V14" s="29">
        <f t="shared" si="1"/>
        <v>-1.6055730469618112E-2</v>
      </c>
      <c r="W14" s="29">
        <v>0.16229217714400482</v>
      </c>
      <c r="X14" s="29">
        <f t="shared" si="2"/>
        <v>-1.5715847812958483E-2</v>
      </c>
    </row>
    <row r="15" spans="1:24" x14ac:dyDescent="0.25">
      <c r="A15" s="27" t="s">
        <v>63</v>
      </c>
      <c r="B15" s="23">
        <f>'APPENDIX A'!C75</f>
        <v>9.2195540308747853E-2</v>
      </c>
      <c r="C15" s="121">
        <f t="shared" si="3"/>
        <v>2.8806916609484825E-3</v>
      </c>
      <c r="D15" s="120">
        <v>9992167</v>
      </c>
      <c r="E15">
        <f t="shared" si="4"/>
        <v>3.1245455596892378E-2</v>
      </c>
      <c r="F15">
        <f t="shared" si="0"/>
        <v>2.9134558272961024E-3</v>
      </c>
      <c r="G15" s="37">
        <v>9919945</v>
      </c>
      <c r="H15">
        <f t="shared" si="5"/>
        <v>3.1600832508160516E-2</v>
      </c>
      <c r="J15" s="70">
        <v>0.08</v>
      </c>
      <c r="K15" s="122">
        <f t="shared" si="6"/>
        <v>2.4996364477513902E-3</v>
      </c>
      <c r="L15" s="49">
        <v>0.08</v>
      </c>
      <c r="M15">
        <f t="shared" si="7"/>
        <v>2.5280666006528415E-3</v>
      </c>
      <c r="N15" s="23">
        <v>0.08</v>
      </c>
      <c r="O15" s="35">
        <f t="shared" si="8"/>
        <v>2.5280666006528415E-3</v>
      </c>
      <c r="P15" s="23">
        <v>7.4999999999999997E-2</v>
      </c>
      <c r="Q15" s="35">
        <f t="shared" si="9"/>
        <v>2.3700624381120384E-3</v>
      </c>
      <c r="R15" t="s">
        <v>294</v>
      </c>
      <c r="U15" s="29">
        <v>8.5651993355481737E-2</v>
      </c>
      <c r="V15" s="29">
        <f t="shared" si="1"/>
        <v>6.5435469532661161E-3</v>
      </c>
      <c r="W15" s="29">
        <v>8.2847961438039769E-2</v>
      </c>
      <c r="X15" s="29">
        <f t="shared" si="2"/>
        <v>9.3475788707080842E-3</v>
      </c>
    </row>
    <row r="16" spans="1:24" x14ac:dyDescent="0.25">
      <c r="A16" s="27" t="s">
        <v>68</v>
      </c>
      <c r="B16" s="23">
        <f>'APPENDIX A'!C82</f>
        <v>7.614594339622642E-2</v>
      </c>
      <c r="C16" s="121">
        <f t="shared" si="3"/>
        <v>3.3431646077821759E-4</v>
      </c>
      <c r="D16" s="120">
        <v>1404054</v>
      </c>
      <c r="E16">
        <f t="shared" si="4"/>
        <v>4.3904697462161246E-3</v>
      </c>
      <c r="F16">
        <f t="shared" si="0"/>
        <v>3.3773254260252328E-4</v>
      </c>
      <c r="G16" s="37">
        <v>1392313</v>
      </c>
      <c r="H16">
        <f t="shared" si="5"/>
        <v>4.4353320418545157E-3</v>
      </c>
      <c r="J16" s="70">
        <v>0.04</v>
      </c>
      <c r="K16" s="122">
        <f t="shared" si="6"/>
        <v>1.7561878984864498E-4</v>
      </c>
      <c r="L16" s="49">
        <v>0.04</v>
      </c>
      <c r="M16">
        <f t="shared" si="7"/>
        <v>1.7741328167418063E-4</v>
      </c>
      <c r="N16" s="23">
        <v>0.04</v>
      </c>
      <c r="O16" s="35">
        <f t="shared" si="8"/>
        <v>1.7741328167418063E-4</v>
      </c>
      <c r="P16" s="23">
        <v>0.04</v>
      </c>
      <c r="Q16" s="35">
        <f t="shared" si="9"/>
        <v>1.7741328167418063E-4</v>
      </c>
      <c r="R16" t="s">
        <v>295</v>
      </c>
      <c r="U16" s="29">
        <v>7.7504318936877092E-2</v>
      </c>
      <c r="V16" s="29">
        <f t="shared" si="1"/>
        <v>-1.358375540650672E-3</v>
      </c>
      <c r="W16" s="29">
        <v>7.705567383008638E-2</v>
      </c>
      <c r="X16" s="29">
        <f t="shared" si="2"/>
        <v>-9.0973043385995933E-4</v>
      </c>
    </row>
    <row r="17" spans="1:24" x14ac:dyDescent="0.25">
      <c r="A17" s="27" t="s">
        <v>72</v>
      </c>
      <c r="B17" s="23">
        <f>'APPENDIX A'!C87</f>
        <v>2.1655231560891938E-2</v>
      </c>
      <c r="C17" s="121">
        <f t="shared" si="3"/>
        <v>1.0916707798683805E-4</v>
      </c>
      <c r="D17" s="120">
        <v>1612136</v>
      </c>
      <c r="E17">
        <f t="shared" si="4"/>
        <v>5.0411411062436899E-3</v>
      </c>
      <c r="F17">
        <f t="shared" si="0"/>
        <v>1.1008064293078121E-4</v>
      </c>
      <c r="G17" s="37">
        <v>1595728</v>
      </c>
      <c r="H17">
        <f t="shared" si="5"/>
        <v>5.0833279072194414E-3</v>
      </c>
      <c r="J17" s="70">
        <v>0.06</v>
      </c>
      <c r="K17" s="122">
        <f t="shared" si="6"/>
        <v>3.0246846637462139E-4</v>
      </c>
      <c r="L17" s="49">
        <v>0.06</v>
      </c>
      <c r="M17">
        <f t="shared" si="7"/>
        <v>3.0499967443316646E-4</v>
      </c>
      <c r="N17" s="23">
        <v>0.06</v>
      </c>
      <c r="O17" s="35">
        <f t="shared" si="8"/>
        <v>3.0499967443316646E-4</v>
      </c>
      <c r="P17" s="23">
        <v>0.06</v>
      </c>
      <c r="Q17" s="35">
        <f t="shared" si="9"/>
        <v>3.0499967443316646E-4</v>
      </c>
      <c r="U17" s="29">
        <v>2.200996677740864E-2</v>
      </c>
      <c r="V17" s="29">
        <f t="shared" si="1"/>
        <v>-3.5473521651670226E-4</v>
      </c>
      <c r="W17" s="29">
        <v>2.1289415545290218E-2</v>
      </c>
      <c r="X17" s="29">
        <f t="shared" si="2"/>
        <v>3.6581601560171928E-4</v>
      </c>
    </row>
    <row r="18" spans="1:24" x14ac:dyDescent="0.25">
      <c r="A18" s="31" t="s">
        <v>74</v>
      </c>
      <c r="B18" s="24">
        <f>'APPENDIX A'!C93</f>
        <v>0.17463550600343053</v>
      </c>
      <c r="C18" s="121">
        <f t="shared" si="3"/>
        <v>7.0347322242118992E-3</v>
      </c>
      <c r="D18" s="120">
        <v>12882135</v>
      </c>
      <c r="E18">
        <f t="shared" si="4"/>
        <v>4.0282370894689133E-2</v>
      </c>
      <c r="F18">
        <f t="shared" si="0"/>
        <v>7.1627145821454782E-3</v>
      </c>
      <c r="G18" s="37">
        <v>12875255</v>
      </c>
      <c r="H18">
        <f t="shared" si="5"/>
        <v>4.1015225059701059E-2</v>
      </c>
      <c r="J18" s="23">
        <v>8.8749999999999996E-2</v>
      </c>
      <c r="K18" s="122">
        <f t="shared" si="6"/>
        <v>3.5750604169036606E-3</v>
      </c>
      <c r="L18" s="49">
        <v>8.8749999999999996E-2</v>
      </c>
      <c r="M18">
        <f t="shared" si="7"/>
        <v>3.6401012240484688E-3</v>
      </c>
      <c r="N18" s="23">
        <v>8.8749999999999996E-2</v>
      </c>
      <c r="O18" s="35">
        <f t="shared" si="8"/>
        <v>3.6401012240484688E-3</v>
      </c>
      <c r="P18" s="23">
        <v>8.8749999999999996E-2</v>
      </c>
      <c r="Q18" s="35">
        <f t="shared" si="9"/>
        <v>3.6401012240484688E-3</v>
      </c>
      <c r="R18" t="s">
        <v>296</v>
      </c>
      <c r="U18" s="30">
        <v>0.1435340531561462</v>
      </c>
      <c r="V18" s="30">
        <f t="shared" si="1"/>
        <v>3.1101452847284328E-2</v>
      </c>
      <c r="W18" s="30">
        <v>0.14243623217513557</v>
      </c>
      <c r="X18" s="30">
        <f t="shared" si="2"/>
        <v>3.2199273828294961E-2</v>
      </c>
    </row>
    <row r="19" spans="1:24" x14ac:dyDescent="0.25">
      <c r="A19" s="27" t="s">
        <v>78</v>
      </c>
      <c r="B19" s="23">
        <f>'APPENDIX A'!C101</f>
        <v>0.11055062332761578</v>
      </c>
      <c r="C19" s="121">
        <f t="shared" si="3"/>
        <v>2.271503254955249E-3</v>
      </c>
      <c r="D19" s="120">
        <v>6570902</v>
      </c>
      <c r="E19">
        <f t="shared" si="4"/>
        <v>2.0547177271209673E-2</v>
      </c>
      <c r="F19">
        <f t="shared" si="0"/>
        <v>2.3022428324671806E-3</v>
      </c>
      <c r="G19" s="37">
        <v>6537334</v>
      </c>
      <c r="H19">
        <f t="shared" si="5"/>
        <v>2.0825236106037183E-2</v>
      </c>
      <c r="J19" s="70">
        <v>7.0000000000000007E-2</v>
      </c>
      <c r="K19" s="122">
        <f t="shared" si="6"/>
        <v>1.4383024089846773E-3</v>
      </c>
      <c r="L19" s="49">
        <v>7.0000000000000007E-2</v>
      </c>
      <c r="M19">
        <f t="shared" si="7"/>
        <v>1.4577665274226029E-3</v>
      </c>
      <c r="N19" s="23">
        <v>7.0000000000000007E-2</v>
      </c>
      <c r="O19" s="35">
        <f t="shared" si="8"/>
        <v>1.4577665274226029E-3</v>
      </c>
      <c r="P19" s="23">
        <v>7.0000000000000007E-2</v>
      </c>
      <c r="Q19" s="35">
        <f t="shared" si="9"/>
        <v>1.4577665274226029E-3</v>
      </c>
      <c r="U19" s="29">
        <v>9.8398059800664461E-2</v>
      </c>
      <c r="V19" s="29">
        <f t="shared" si="1"/>
        <v>1.2152563526951321E-2</v>
      </c>
      <c r="W19" s="30">
        <v>8.892619714400482E-2</v>
      </c>
      <c r="X19" s="30">
        <f t="shared" si="2"/>
        <v>2.1624426183610962E-2</v>
      </c>
    </row>
    <row r="20" spans="1:24" x14ac:dyDescent="0.25">
      <c r="A20" s="27" t="s">
        <v>82</v>
      </c>
      <c r="B20" s="23">
        <f>'APPENDIX A'!C108</f>
        <v>8.7084048027444252E-2</v>
      </c>
      <c r="C20" s="121">
        <f t="shared" si="3"/>
        <v>8.4155543672732955E-4</v>
      </c>
      <c r="D20" s="120">
        <v>3090416</v>
      </c>
      <c r="E20">
        <f t="shared" si="4"/>
        <v>9.6637151784918877E-3</v>
      </c>
      <c r="F20">
        <f t="shared" si="0"/>
        <v>8.5282124134778022E-4</v>
      </c>
      <c r="G20" s="37">
        <v>3074186</v>
      </c>
      <c r="H20">
        <f t="shared" si="5"/>
        <v>9.7930822081102199E-3</v>
      </c>
      <c r="J20" s="23">
        <v>6.5000000000000002E-2</v>
      </c>
      <c r="K20" s="122">
        <f t="shared" si="6"/>
        <v>6.2814148660197272E-4</v>
      </c>
      <c r="L20" s="49">
        <v>6.5000000000000002E-2</v>
      </c>
      <c r="M20">
        <f t="shared" si="7"/>
        <v>6.3655034352716434E-4</v>
      </c>
      <c r="N20" s="23">
        <v>6.5000000000000002E-2</v>
      </c>
      <c r="O20" s="35">
        <f t="shared" si="8"/>
        <v>6.3655034352716434E-4</v>
      </c>
      <c r="P20" s="23">
        <v>6.5000000000000002E-2</v>
      </c>
      <c r="Q20" s="35">
        <f t="shared" si="9"/>
        <v>6.3655034352716434E-4</v>
      </c>
      <c r="U20" s="32">
        <v>8.4119601328903643E-2</v>
      </c>
      <c r="V20" s="32">
        <f t="shared" si="1"/>
        <v>2.9644466985406098E-3</v>
      </c>
      <c r="W20" s="32">
        <v>8.3657360915846538E-2</v>
      </c>
      <c r="X20" s="32">
        <f t="shared" si="2"/>
        <v>3.4266871115977149E-3</v>
      </c>
    </row>
    <row r="21" spans="1:24" x14ac:dyDescent="0.25">
      <c r="A21" s="27" t="s">
        <v>87</v>
      </c>
      <c r="B21" s="23">
        <f>'APPENDIX A'!C115</f>
        <v>0.13530993636363636</v>
      </c>
      <c r="C21" s="121">
        <f t="shared" si="3"/>
        <v>1.2244722335626691E-3</v>
      </c>
      <c r="D21" s="120">
        <v>2893957</v>
      </c>
      <c r="E21">
        <f t="shared" si="4"/>
        <v>9.049388880591756E-3</v>
      </c>
      <c r="F21">
        <f t="shared" si="0"/>
        <v>1.2439444310980801E-3</v>
      </c>
      <c r="G21" s="37">
        <v>2885905</v>
      </c>
      <c r="H21">
        <f t="shared" si="5"/>
        <v>9.1932969930239496E-3</v>
      </c>
      <c r="J21" s="23">
        <f>7.98%+0.35%</f>
        <v>8.3300000000000013E-2</v>
      </c>
      <c r="K21" s="122">
        <f t="shared" si="6"/>
        <v>7.5381409375329343E-4</v>
      </c>
      <c r="L21" s="49">
        <v>7.9799999999999996E-2</v>
      </c>
      <c r="M21">
        <f t="shared" si="7"/>
        <v>7.336251000433111E-4</v>
      </c>
      <c r="N21" s="23">
        <v>7.9799999999999996E-2</v>
      </c>
      <c r="O21" s="35">
        <f t="shared" si="8"/>
        <v>7.336251000433111E-4</v>
      </c>
      <c r="P21" s="23">
        <v>8.1299999999999997E-2</v>
      </c>
      <c r="Q21" s="35">
        <f t="shared" si="9"/>
        <v>7.474150455328471E-4</v>
      </c>
      <c r="R21" t="s">
        <v>425</v>
      </c>
      <c r="U21" s="32">
        <v>0.13594765980066445</v>
      </c>
      <c r="V21" s="32">
        <f t="shared" si="1"/>
        <v>-6.3772343702808709E-4</v>
      </c>
      <c r="W21" s="30">
        <v>0.11548087714400483</v>
      </c>
      <c r="X21" s="30">
        <f t="shared" si="2"/>
        <v>1.9829059219631531E-2</v>
      </c>
    </row>
    <row r="22" spans="1:24" x14ac:dyDescent="0.25">
      <c r="A22" s="27" t="s">
        <v>91</v>
      </c>
      <c r="B22" s="23">
        <f>'APPENDIX A'!C124</f>
        <v>0.10558147512864494</v>
      </c>
      <c r="C22" s="121">
        <f t="shared" si="3"/>
        <v>1.4511186782964073E-3</v>
      </c>
      <c r="D22" s="120">
        <v>4395295</v>
      </c>
      <c r="E22">
        <f t="shared" si="4"/>
        <v>1.3744065202047072E-2</v>
      </c>
      <c r="F22">
        <f t="shared" si="0"/>
        <v>1.473303575003027E-3</v>
      </c>
      <c r="G22" s="37">
        <v>4380415</v>
      </c>
      <c r="H22">
        <f t="shared" si="5"/>
        <v>1.3954186311641237E-2</v>
      </c>
      <c r="J22" s="70">
        <v>0.06</v>
      </c>
      <c r="K22" s="122">
        <f t="shared" si="6"/>
        <v>8.2464391212282422E-4</v>
      </c>
      <c r="L22" s="49">
        <v>0.06</v>
      </c>
      <c r="M22">
        <f t="shared" si="7"/>
        <v>8.3725117869847421E-4</v>
      </c>
      <c r="N22" s="23">
        <v>0.06</v>
      </c>
      <c r="O22" s="35">
        <f t="shared" si="8"/>
        <v>8.3725117869847421E-4</v>
      </c>
      <c r="P22" s="23">
        <v>0.06</v>
      </c>
      <c r="Q22" s="35">
        <f t="shared" si="9"/>
        <v>8.3725117869847421E-4</v>
      </c>
      <c r="U22" s="29">
        <v>0.10419601328903653</v>
      </c>
      <c r="V22" s="29">
        <f t="shared" si="1"/>
        <v>1.3854618396084012E-3</v>
      </c>
      <c r="W22" s="29">
        <v>0.10366579634464751</v>
      </c>
      <c r="X22" s="29">
        <f t="shared" si="2"/>
        <v>1.9156787839974265E-3</v>
      </c>
    </row>
    <row r="23" spans="1:24" x14ac:dyDescent="0.25">
      <c r="A23" s="27" t="s">
        <v>100</v>
      </c>
      <c r="B23" s="23">
        <f>'APPENDIX A'!C130</f>
        <v>7.2881646655231558E-2</v>
      </c>
      <c r="C23" s="121">
        <f t="shared" si="3"/>
        <v>1.0541471104409924E-3</v>
      </c>
      <c r="D23" s="120">
        <v>4625470</v>
      </c>
      <c r="E23">
        <f t="shared" si="4"/>
        <v>1.4463821261169654E-2</v>
      </c>
      <c r="F23">
        <f t="shared" si="0"/>
        <v>1.0684247814184531E-3</v>
      </c>
      <c r="G23" s="37">
        <v>4601893</v>
      </c>
      <c r="H23">
        <f t="shared" si="5"/>
        <v>1.4659723407083035E-2</v>
      </c>
      <c r="J23" s="23">
        <v>0.09</v>
      </c>
      <c r="K23" s="122">
        <f t="shared" si="6"/>
        <v>1.3017439135052688E-3</v>
      </c>
      <c r="L23" s="49">
        <v>0.09</v>
      </c>
      <c r="M23">
        <f t="shared" si="7"/>
        <v>1.3193751066374732E-3</v>
      </c>
      <c r="N23" s="23">
        <v>0.09</v>
      </c>
      <c r="O23" s="35">
        <f t="shared" si="8"/>
        <v>1.3193751066374732E-3</v>
      </c>
      <c r="P23" s="23">
        <v>0.09</v>
      </c>
      <c r="Q23" s="35">
        <f t="shared" si="9"/>
        <v>1.3193751066374732E-3</v>
      </c>
      <c r="U23" s="29">
        <v>6.280730897009966E-2</v>
      </c>
      <c r="V23" s="29">
        <f t="shared" si="1"/>
        <v>1.0074337685131898E-2</v>
      </c>
      <c r="W23" s="29">
        <v>6.173327977505523E-2</v>
      </c>
      <c r="X23" s="29">
        <f t="shared" si="2"/>
        <v>1.1148366880176327E-2</v>
      </c>
    </row>
    <row r="24" spans="1:24" x14ac:dyDescent="0.25">
      <c r="A24" s="27" t="s">
        <v>104</v>
      </c>
      <c r="B24" s="23">
        <f>'APPENDIX A'!C137</f>
        <v>7.3549270497427113E-2</v>
      </c>
      <c r="C24" s="121">
        <f t="shared" si="3"/>
        <v>3.0549378112870197E-4</v>
      </c>
      <c r="D24" s="120">
        <v>1328302</v>
      </c>
      <c r="E24">
        <f t="shared" si="4"/>
        <v>4.1535936259135117E-3</v>
      </c>
      <c r="F24">
        <f t="shared" si="0"/>
        <v>3.1142634445727922E-4</v>
      </c>
      <c r="G24" s="37">
        <v>1329192</v>
      </c>
      <c r="H24">
        <f t="shared" si="5"/>
        <v>4.2342547023382577E-3</v>
      </c>
      <c r="J24" s="23">
        <v>5.5E-2</v>
      </c>
      <c r="K24" s="122">
        <f t="shared" si="6"/>
        <v>2.2844764942524313E-4</v>
      </c>
      <c r="L24" s="49">
        <v>0.06</v>
      </c>
      <c r="M24">
        <f t="shared" si="7"/>
        <v>2.5405528214029544E-4</v>
      </c>
      <c r="N24" s="23">
        <v>0.05</v>
      </c>
      <c r="O24" s="35">
        <f t="shared" si="8"/>
        <v>2.1171273511691289E-4</v>
      </c>
      <c r="P24" s="23">
        <v>0.05</v>
      </c>
      <c r="Q24" s="35">
        <f t="shared" si="9"/>
        <v>2.1171273511691289E-4</v>
      </c>
      <c r="U24" s="29">
        <v>7.1609353820598007E-2</v>
      </c>
      <c r="V24" s="29">
        <f t="shared" si="1"/>
        <v>1.9399166768291065E-3</v>
      </c>
      <c r="W24" s="29">
        <v>6.969671108656357E-2</v>
      </c>
      <c r="X24" s="29">
        <f t="shared" si="2"/>
        <v>3.852559410863543E-3</v>
      </c>
    </row>
    <row r="25" spans="1:24" x14ac:dyDescent="0.25">
      <c r="A25" s="27" t="s">
        <v>110</v>
      </c>
      <c r="B25" s="23">
        <f>'APPENDIX A'!C145</f>
        <v>0.12668096054888509</v>
      </c>
      <c r="C25" s="121">
        <f t="shared" si="3"/>
        <v>2.3485853702737637E-3</v>
      </c>
      <c r="D25" s="120">
        <v>5928814</v>
      </c>
      <c r="E25">
        <f t="shared" si="4"/>
        <v>1.8539371347499885E-2</v>
      </c>
      <c r="F25">
        <f t="shared" si="0"/>
        <v>2.3747332016447204E-3</v>
      </c>
      <c r="G25" s="37">
        <v>5884563</v>
      </c>
      <c r="H25">
        <f t="shared" si="5"/>
        <v>1.8745778302875524E-2</v>
      </c>
      <c r="J25" s="70">
        <v>0.06</v>
      </c>
      <c r="K25" s="122">
        <f t="shared" si="6"/>
        <v>1.112362280849993E-3</v>
      </c>
      <c r="L25" s="49">
        <v>0.06</v>
      </c>
      <c r="M25">
        <f t="shared" si="7"/>
        <v>1.1247466981725313E-3</v>
      </c>
      <c r="N25" s="23">
        <v>0.06</v>
      </c>
      <c r="O25" s="35">
        <f t="shared" si="8"/>
        <v>1.1247466981725313E-3</v>
      </c>
      <c r="P25" s="23">
        <v>0.06</v>
      </c>
      <c r="Q25" s="35">
        <f t="shared" si="9"/>
        <v>1.1247466981725313E-3</v>
      </c>
      <c r="U25" s="29">
        <v>0.1222923588039867</v>
      </c>
      <c r="V25" s="29">
        <f t="shared" si="1"/>
        <v>4.3886017448983849E-3</v>
      </c>
      <c r="W25" s="30">
        <v>0.11523197429202651</v>
      </c>
      <c r="X25" s="30">
        <f t="shared" si="2"/>
        <v>1.144898625685857E-2</v>
      </c>
    </row>
    <row r="26" spans="1:24" x14ac:dyDescent="0.25">
      <c r="A26" s="27" t="s">
        <v>115</v>
      </c>
      <c r="B26" s="23">
        <f>'APPENDIX A'!C150</f>
        <v>8.9301029159519721E-2</v>
      </c>
      <c r="C26" s="121">
        <f t="shared" si="3"/>
        <v>1.8689300472550332E-3</v>
      </c>
      <c r="D26" s="120">
        <v>6692824</v>
      </c>
      <c r="E26">
        <f t="shared" si="4"/>
        <v>2.0928426747653002E-2</v>
      </c>
      <c r="F26">
        <f t="shared" si="0"/>
        <v>1.8906688568066819E-3</v>
      </c>
      <c r="G26" s="37">
        <v>6646144</v>
      </c>
      <c r="H26">
        <f t="shared" si="5"/>
        <v>2.1171859659415041E-2</v>
      </c>
      <c r="J26" s="23">
        <v>6.25E-2</v>
      </c>
      <c r="K26" s="122">
        <f t="shared" si="6"/>
        <v>1.3080266717283126E-3</v>
      </c>
      <c r="L26" s="49">
        <v>6.25E-2</v>
      </c>
      <c r="M26">
        <f t="shared" si="7"/>
        <v>1.3232412287134401E-3</v>
      </c>
      <c r="N26" s="23">
        <v>6.25E-2</v>
      </c>
      <c r="O26" s="35">
        <f t="shared" si="8"/>
        <v>1.3232412287134401E-3</v>
      </c>
      <c r="P26" s="23">
        <v>6.25E-2</v>
      </c>
      <c r="Q26" s="35">
        <f t="shared" si="9"/>
        <v>1.3232412287134401E-3</v>
      </c>
      <c r="R26" t="s">
        <v>265</v>
      </c>
      <c r="U26" s="29">
        <v>7.8073089700996676E-2</v>
      </c>
      <c r="V26" s="29">
        <f t="shared" si="1"/>
        <v>1.1227939458523045E-2</v>
      </c>
      <c r="W26" s="30">
        <v>6.5063265716007235E-2</v>
      </c>
      <c r="X26" s="30">
        <f t="shared" si="2"/>
        <v>2.4237763443512486E-2</v>
      </c>
    </row>
    <row r="27" spans="1:24" x14ac:dyDescent="0.25">
      <c r="A27" s="27" t="s">
        <v>118</v>
      </c>
      <c r="B27" s="23">
        <f>'APPENDIX A'!C157</f>
        <v>8.282351217838764E-2</v>
      </c>
      <c r="C27" s="121">
        <f t="shared" si="3"/>
        <v>2.5628543078109831E-3</v>
      </c>
      <c r="D27" s="120">
        <v>9895622</v>
      </c>
      <c r="E27">
        <f t="shared" si="4"/>
        <v>3.094355987091002E-2</v>
      </c>
      <c r="F27">
        <f t="shared" si="0"/>
        <v>2.6076392993552924E-3</v>
      </c>
      <c r="G27" s="37">
        <v>9883360</v>
      </c>
      <c r="H27">
        <f t="shared" si="5"/>
        <v>3.1484287864282846E-2</v>
      </c>
      <c r="J27" s="23">
        <v>0.06</v>
      </c>
      <c r="K27" s="122">
        <f t="shared" si="6"/>
        <v>1.8566135922546011E-3</v>
      </c>
      <c r="L27" s="49">
        <v>0.06</v>
      </c>
      <c r="M27">
        <f t="shared" si="7"/>
        <v>1.8890572718569707E-3</v>
      </c>
      <c r="N27" s="23">
        <v>0.06</v>
      </c>
      <c r="O27" s="35">
        <f t="shared" si="8"/>
        <v>1.8890572718569707E-3</v>
      </c>
      <c r="P27" s="23">
        <v>0.06</v>
      </c>
      <c r="Q27" s="35">
        <f t="shared" si="9"/>
        <v>1.8890572718569707E-3</v>
      </c>
      <c r="U27" s="29">
        <v>7.2666112956810636E-2</v>
      </c>
      <c r="V27" s="29">
        <f t="shared" si="1"/>
        <v>1.0157399221577004E-2</v>
      </c>
      <c r="W27" s="29">
        <v>7.0343442458324967E-2</v>
      </c>
      <c r="X27" s="29">
        <f t="shared" si="2"/>
        <v>1.2480069720062673E-2</v>
      </c>
    </row>
    <row r="28" spans="1:24" x14ac:dyDescent="0.25">
      <c r="A28" s="27" t="s">
        <v>122</v>
      </c>
      <c r="B28" s="23">
        <f>'APPENDIX A'!C164</f>
        <v>9.5439108061749586E-2</v>
      </c>
      <c r="C28" s="121">
        <f t="shared" si="3"/>
        <v>1.6176452389028546E-3</v>
      </c>
      <c r="D28" s="120">
        <v>5420380</v>
      </c>
      <c r="E28">
        <f t="shared" si="4"/>
        <v>1.6949500804808757E-2</v>
      </c>
      <c r="F28">
        <f t="shared" si="0"/>
        <v>1.6354165882487182E-3</v>
      </c>
      <c r="G28" s="37">
        <v>5379139</v>
      </c>
      <c r="H28">
        <f t="shared" si="5"/>
        <v>1.7135706959777907E-2</v>
      </c>
      <c r="J28" s="23">
        <v>7.6999999999999999E-2</v>
      </c>
      <c r="K28" s="122">
        <f t="shared" si="6"/>
        <v>1.3051115619702742E-3</v>
      </c>
      <c r="L28" s="49">
        <v>7.6999999999999999E-2</v>
      </c>
      <c r="M28">
        <f t="shared" si="7"/>
        <v>1.3194494359028987E-3</v>
      </c>
      <c r="N28" s="23">
        <v>7.6999999999999999E-2</v>
      </c>
      <c r="O28" s="35">
        <f t="shared" si="8"/>
        <v>1.3194494359028987E-3</v>
      </c>
      <c r="P28" s="23">
        <v>7.7100000000000002E-2</v>
      </c>
      <c r="Q28" s="35">
        <f t="shared" si="9"/>
        <v>1.3211630065988766E-3</v>
      </c>
      <c r="U28" s="29">
        <v>9.1318936877076415E-2</v>
      </c>
      <c r="V28" s="29">
        <f t="shared" si="1"/>
        <v>4.1201711846731714E-3</v>
      </c>
      <c r="W28" s="30">
        <v>8.7018326973287818E-2</v>
      </c>
      <c r="X28" s="30">
        <f t="shared" si="2"/>
        <v>8.4207810884617679E-3</v>
      </c>
    </row>
    <row r="29" spans="1:24" x14ac:dyDescent="0.25">
      <c r="A29" s="27" t="s">
        <v>126</v>
      </c>
      <c r="B29" s="23">
        <f>'APPENDIX A'!C169</f>
        <v>9.1440823327615786E-2</v>
      </c>
      <c r="C29" s="121">
        <f t="shared" si="3"/>
        <v>8.552907477649206E-4</v>
      </c>
      <c r="D29" s="120">
        <v>2991207</v>
      </c>
      <c r="E29">
        <f t="shared" si="4"/>
        <v>9.353489138003164E-3</v>
      </c>
      <c r="F29">
        <f t="shared" si="0"/>
        <v>8.6948672640448598E-4</v>
      </c>
      <c r="G29" s="37">
        <v>2984926</v>
      </c>
      <c r="H29">
        <f t="shared" si="5"/>
        <v>9.5087368503810783E-3</v>
      </c>
      <c r="J29" s="23">
        <v>7.4999999999999997E-2</v>
      </c>
      <c r="K29" s="122">
        <f t="shared" si="6"/>
        <v>7.0151168535023732E-4</v>
      </c>
      <c r="L29" s="49">
        <v>7.0000000000000007E-2</v>
      </c>
      <c r="M29">
        <f t="shared" si="7"/>
        <v>6.6561157952667554E-4</v>
      </c>
      <c r="N29" s="23">
        <v>7.0000000000000007E-2</v>
      </c>
      <c r="O29" s="35">
        <f t="shared" si="8"/>
        <v>6.6561157952667554E-4</v>
      </c>
      <c r="P29" s="23">
        <v>7.0000000000000007E-2</v>
      </c>
      <c r="Q29" s="35">
        <f t="shared" si="9"/>
        <v>6.6561157952667554E-4</v>
      </c>
      <c r="R29" t="s">
        <v>428</v>
      </c>
      <c r="U29" s="29">
        <v>9.0764119601328908E-2</v>
      </c>
      <c r="V29" s="29">
        <f t="shared" si="1"/>
        <v>6.7670372628687858E-4</v>
      </c>
      <c r="W29" s="29">
        <v>9.0084354288009649E-2</v>
      </c>
      <c r="X29" s="29">
        <f t="shared" si="2"/>
        <v>1.3564690396061369E-3</v>
      </c>
    </row>
    <row r="30" spans="1:24" x14ac:dyDescent="0.25">
      <c r="A30" s="31" t="s">
        <v>128</v>
      </c>
      <c r="B30" s="24">
        <f>'APPENDIX A'!C175</f>
        <v>0.14787500000000001</v>
      </c>
      <c r="C30" s="121">
        <f t="shared" si="3"/>
        <v>2.7948511196122499E-3</v>
      </c>
      <c r="D30" s="120">
        <v>6044171</v>
      </c>
      <c r="E30">
        <f t="shared" si="4"/>
        <v>1.8900092102196109E-2</v>
      </c>
      <c r="F30">
        <f t="shared" si="0"/>
        <v>2.8367685481668803E-3</v>
      </c>
      <c r="G30" s="37">
        <v>6021988</v>
      </c>
      <c r="H30">
        <f t="shared" si="5"/>
        <v>1.918355738405329E-2</v>
      </c>
      <c r="J30" s="23">
        <v>8.2900000000000001E-2</v>
      </c>
      <c r="K30" s="122">
        <f t="shared" si="6"/>
        <v>1.5668176352720575E-3</v>
      </c>
      <c r="L30" s="49">
        <v>8.0799999999999997E-2</v>
      </c>
      <c r="M30">
        <f t="shared" si="7"/>
        <v>1.5500314366315058E-3</v>
      </c>
      <c r="N30" s="23">
        <v>8.0799999999999997E-2</v>
      </c>
      <c r="O30" s="35">
        <f t="shared" si="8"/>
        <v>1.5500314366315058E-3</v>
      </c>
      <c r="P30" s="23">
        <v>7.5800000000000006E-2</v>
      </c>
      <c r="Q30" s="35">
        <f t="shared" si="9"/>
        <v>1.4541136497112394E-3</v>
      </c>
      <c r="U30" s="30">
        <v>0.13725000000000001</v>
      </c>
      <c r="V30" s="30">
        <f t="shared" si="1"/>
        <v>1.0624999999999996E-2</v>
      </c>
      <c r="W30" s="30">
        <v>0.13725000000000001</v>
      </c>
      <c r="X30" s="30">
        <f t="shared" si="2"/>
        <v>1.0624999999999996E-2</v>
      </c>
    </row>
    <row r="31" spans="1:24" x14ac:dyDescent="0.25">
      <c r="A31" s="27" t="s">
        <v>131</v>
      </c>
      <c r="B31" s="23">
        <f>'APPENDIX A'!C181</f>
        <v>6.1084905660377359E-2</v>
      </c>
      <c r="C31" s="121">
        <f t="shared" si="3"/>
        <v>1.9390889046441931E-4</v>
      </c>
      <c r="D31" s="120">
        <v>1015165</v>
      </c>
      <c r="E31">
        <f t="shared" si="4"/>
        <v>3.1744158130082543E-3</v>
      </c>
      <c r="F31">
        <f t="shared" si="0"/>
        <v>1.9559158029496662E-4</v>
      </c>
      <c r="G31" s="37">
        <v>1005141</v>
      </c>
      <c r="H31">
        <f t="shared" si="5"/>
        <v>3.2019625500025422E-3</v>
      </c>
      <c r="J31" s="114">
        <v>0</v>
      </c>
      <c r="K31" s="122">
        <f t="shared" si="6"/>
        <v>0</v>
      </c>
      <c r="L31" s="49">
        <v>0</v>
      </c>
      <c r="M31">
        <f t="shared" si="7"/>
        <v>0</v>
      </c>
      <c r="N31" s="23">
        <v>0</v>
      </c>
      <c r="O31" s="35">
        <f t="shared" si="8"/>
        <v>0</v>
      </c>
      <c r="P31" s="23">
        <v>0</v>
      </c>
      <c r="Q31" s="35">
        <f t="shared" si="9"/>
        <v>0</v>
      </c>
      <c r="U31" s="29">
        <v>6.0340531561461797E-2</v>
      </c>
      <c r="V31" s="29">
        <f t="shared" si="1"/>
        <v>7.4437409891556228E-4</v>
      </c>
      <c r="W31" s="29">
        <v>5.9592789716810597E-2</v>
      </c>
      <c r="X31" s="29">
        <f t="shared" si="2"/>
        <v>1.4921159435667616E-3</v>
      </c>
    </row>
    <row r="32" spans="1:24" x14ac:dyDescent="0.25">
      <c r="A32" s="31" t="s">
        <v>137</v>
      </c>
      <c r="B32" s="24">
        <f>'APPENDIX A'!C190</f>
        <v>0.18525709519725556</v>
      </c>
      <c r="C32" s="121">
        <f t="shared" si="3"/>
        <v>1.0824275786318763E-3</v>
      </c>
      <c r="D32" s="120">
        <v>1868516</v>
      </c>
      <c r="E32">
        <f t="shared" si="4"/>
        <v>5.8428400676332733E-3</v>
      </c>
      <c r="F32">
        <f t="shared" si="0"/>
        <v>1.095042361169598E-3</v>
      </c>
      <c r="G32" s="37">
        <v>1855525</v>
      </c>
      <c r="H32">
        <f t="shared" si="5"/>
        <v>5.9109334517181839E-3</v>
      </c>
      <c r="J32" s="23">
        <v>7.0000000000000007E-2</v>
      </c>
      <c r="K32" s="122">
        <f t="shared" si="6"/>
        <v>4.0899880473432919E-4</v>
      </c>
      <c r="L32" s="49">
        <v>7.0000000000000007E-2</v>
      </c>
      <c r="M32">
        <f t="shared" si="7"/>
        <v>4.1376534162027289E-4</v>
      </c>
      <c r="N32" s="23">
        <v>7.0000000000000007E-2</v>
      </c>
      <c r="O32" s="35">
        <f t="shared" si="8"/>
        <v>4.1376534162027289E-4</v>
      </c>
      <c r="P32" s="23">
        <v>7.0000000000000007E-2</v>
      </c>
      <c r="Q32" s="35">
        <f t="shared" si="9"/>
        <v>4.1376534162027289E-4</v>
      </c>
      <c r="U32" s="29">
        <v>0.18638576578073091</v>
      </c>
      <c r="V32" s="29">
        <f t="shared" si="1"/>
        <v>-1.1286705834753497E-3</v>
      </c>
      <c r="W32" s="29">
        <v>0.1835118948584053</v>
      </c>
      <c r="X32" s="29">
        <f t="shared" si="2"/>
        <v>1.7452003388502557E-3</v>
      </c>
    </row>
    <row r="33" spans="1:24" x14ac:dyDescent="0.25">
      <c r="A33" s="27" t="s">
        <v>143</v>
      </c>
      <c r="B33" s="23">
        <f>'APPENDIX A'!C197</f>
        <v>1.9466845111492284E-2</v>
      </c>
      <c r="C33" s="121">
        <f t="shared" si="3"/>
        <v>1.6984318439980324E-4</v>
      </c>
      <c r="D33" s="120">
        <v>2790136</v>
      </c>
      <c r="E33">
        <f t="shared" si="4"/>
        <v>8.7247411394636327E-3</v>
      </c>
      <c r="F33">
        <f t="shared" si="0"/>
        <v>1.7109041204494874E-4</v>
      </c>
      <c r="G33" s="37">
        <v>2758931</v>
      </c>
      <c r="H33">
        <f t="shared" si="5"/>
        <v>8.7888104654382463E-3</v>
      </c>
      <c r="J33" s="23">
        <v>7.85E-2</v>
      </c>
      <c r="K33" s="122">
        <f t="shared" si="6"/>
        <v>6.8489217944789522E-4</v>
      </c>
      <c r="L33" s="49">
        <v>7.7899999999999997E-2</v>
      </c>
      <c r="M33">
        <f t="shared" si="7"/>
        <v>6.8464833525763941E-4</v>
      </c>
      <c r="N33" s="23">
        <v>7.5999999999999998E-2</v>
      </c>
      <c r="O33" s="35">
        <f t="shared" si="8"/>
        <v>6.6794959537330668E-4</v>
      </c>
      <c r="P33" s="23">
        <v>7.7899999999999997E-2</v>
      </c>
      <c r="Q33" s="35">
        <f t="shared" si="9"/>
        <v>6.8464833525763941E-4</v>
      </c>
      <c r="U33" s="29">
        <v>2.0764119601328904E-2</v>
      </c>
      <c r="V33" s="29">
        <f t="shared" si="1"/>
        <v>-1.2972744898366202E-3</v>
      </c>
      <c r="W33" s="29">
        <v>2.0084354288009639E-2</v>
      </c>
      <c r="X33" s="29">
        <f t="shared" si="2"/>
        <v>-6.1750917651735501E-4</v>
      </c>
    </row>
    <row r="34" spans="1:24" x14ac:dyDescent="0.25">
      <c r="A34" s="27" t="s">
        <v>148</v>
      </c>
      <c r="B34" s="23">
        <f>'APPENDIX A'!C202</f>
        <v>8.2221269296741006E-2</v>
      </c>
      <c r="C34" s="121">
        <f t="shared" si="3"/>
        <v>3.4026857816467636E-4</v>
      </c>
      <c r="D34" s="120">
        <v>1323459</v>
      </c>
      <c r="E34">
        <f t="shared" si="4"/>
        <v>4.1384495894441703E-3</v>
      </c>
      <c r="F34">
        <f t="shared" si="0"/>
        <v>3.459262616704025E-4</v>
      </c>
      <c r="G34" s="37">
        <v>1320718</v>
      </c>
      <c r="H34">
        <f t="shared" si="5"/>
        <v>4.2072600511910844E-3</v>
      </c>
      <c r="J34" s="114">
        <v>0</v>
      </c>
      <c r="K34" s="122">
        <f t="shared" si="6"/>
        <v>0</v>
      </c>
      <c r="L34" s="49">
        <v>0</v>
      </c>
      <c r="M34">
        <f t="shared" si="7"/>
        <v>0</v>
      </c>
      <c r="N34" s="23">
        <v>0</v>
      </c>
      <c r="O34" s="35">
        <f t="shared" si="8"/>
        <v>0</v>
      </c>
      <c r="P34" s="23">
        <v>0</v>
      </c>
      <c r="Q34" s="35">
        <f t="shared" si="9"/>
        <v>0</v>
      </c>
      <c r="U34" s="29">
        <v>8.1835548172757483E-2</v>
      </c>
      <c r="V34" s="29">
        <f t="shared" si="1"/>
        <v>3.8572112398352343E-4</v>
      </c>
      <c r="W34" s="29">
        <v>8.2853986744326175E-2</v>
      </c>
      <c r="X34" s="29">
        <f t="shared" si="2"/>
        <v>-6.3271744758516824E-4</v>
      </c>
    </row>
    <row r="35" spans="1:24" x14ac:dyDescent="0.25">
      <c r="A35" s="27" t="s">
        <v>151</v>
      </c>
      <c r="B35" s="23">
        <f>'APPENDIX A'!C207</f>
        <v>8.9296740994854212E-2</v>
      </c>
      <c r="C35" s="121">
        <f t="shared" si="3"/>
        <v>2.4849664940723008E-3</v>
      </c>
      <c r="D35" s="120">
        <v>8899339</v>
      </c>
      <c r="E35">
        <f t="shared" si="4"/>
        <v>2.7828187976261069E-2</v>
      </c>
      <c r="F35">
        <f t="shared" si="0"/>
        <v>2.5216425402813289E-3</v>
      </c>
      <c r="G35" s="37">
        <v>8864590</v>
      </c>
      <c r="H35">
        <f t="shared" si="5"/>
        <v>2.8238908970111689E-2</v>
      </c>
      <c r="J35" s="70">
        <v>7.0000000000000007E-2</v>
      </c>
      <c r="K35" s="122">
        <f t="shared" si="6"/>
        <v>1.947973158338275E-3</v>
      </c>
      <c r="L35" s="49">
        <v>7.0000000000000007E-2</v>
      </c>
      <c r="M35">
        <f t="shared" si="7"/>
        <v>1.9767236279078183E-3</v>
      </c>
      <c r="N35" s="23">
        <v>7.0000000000000007E-2</v>
      </c>
      <c r="O35" s="35">
        <f t="shared" si="8"/>
        <v>1.9767236279078183E-3</v>
      </c>
      <c r="P35" s="23">
        <v>7.0000000000000007E-2</v>
      </c>
      <c r="Q35" s="35">
        <f t="shared" si="9"/>
        <v>1.9767236279078183E-3</v>
      </c>
      <c r="U35" s="29">
        <v>8.8687707641196017E-2</v>
      </c>
      <c r="V35" s="29">
        <f t="shared" si="1"/>
        <v>6.0903335365819489E-4</v>
      </c>
      <c r="W35" s="29">
        <v>8.8075918859208679E-2</v>
      </c>
      <c r="X35" s="29">
        <f t="shared" si="2"/>
        <v>1.2208221356455329E-3</v>
      </c>
    </row>
    <row r="36" spans="1:24" x14ac:dyDescent="0.25">
      <c r="A36" s="27" t="s">
        <v>152</v>
      </c>
      <c r="B36" s="23">
        <f>'APPENDIX A'!C215</f>
        <v>0.11216101989708403</v>
      </c>
      <c r="C36" s="121">
        <f t="shared" si="3"/>
        <v>7.3136633083105049E-4</v>
      </c>
      <c r="D36" s="120">
        <v>2085287</v>
      </c>
      <c r="E36">
        <f t="shared" si="4"/>
        <v>6.5206818866495042E-3</v>
      </c>
      <c r="F36">
        <f t="shared" si="0"/>
        <v>7.4515962750224506E-4</v>
      </c>
      <c r="G36" s="37">
        <v>2085538</v>
      </c>
      <c r="H36">
        <f t="shared" si="5"/>
        <v>6.6436595190199205E-3</v>
      </c>
      <c r="J36" s="23">
        <v>7.7499999999999999E-2</v>
      </c>
      <c r="K36" s="122">
        <f t="shared" si="6"/>
        <v>5.0535284621533655E-4</v>
      </c>
      <c r="L36" s="49">
        <v>7.5999999999999998E-2</v>
      </c>
      <c r="M36">
        <f t="shared" si="7"/>
        <v>5.0491812344551394E-4</v>
      </c>
      <c r="N36" s="23">
        <v>7.5999999999999998E-2</v>
      </c>
      <c r="O36" s="35">
        <f t="shared" si="8"/>
        <v>5.0491812344551394E-4</v>
      </c>
      <c r="P36" s="23">
        <v>7.5999999999999998E-2</v>
      </c>
      <c r="Q36" s="35">
        <f t="shared" si="9"/>
        <v>5.0491812344551394E-4</v>
      </c>
      <c r="U36" s="29">
        <v>0.10355020099667775</v>
      </c>
      <c r="V36" s="29">
        <f t="shared" si="1"/>
        <v>8.6108189004062835E-3</v>
      </c>
      <c r="W36" s="29">
        <v>0.10131652068688492</v>
      </c>
      <c r="X36" s="29">
        <f t="shared" si="2"/>
        <v>1.0844499210199116E-2</v>
      </c>
    </row>
    <row r="37" spans="1:24" x14ac:dyDescent="0.25">
      <c r="A37" s="31" t="s">
        <v>156</v>
      </c>
      <c r="B37" s="24">
        <f>'APPENDIX A'!C228</f>
        <v>0.17901123499142368</v>
      </c>
      <c r="C37" s="121">
        <f t="shared" si="3"/>
        <v>1.1000056830766776E-2</v>
      </c>
      <c r="D37" s="120">
        <v>19651127</v>
      </c>
      <c r="E37">
        <f t="shared" si="4"/>
        <v>6.1448974592537627E-2</v>
      </c>
      <c r="F37">
        <f t="shared" si="0"/>
        <v>1.1160050664552928E-2</v>
      </c>
      <c r="G37" s="37">
        <v>19570261</v>
      </c>
      <c r="H37">
        <f t="shared" si="5"/>
        <v>6.2342738795626983E-2</v>
      </c>
      <c r="J37" s="23">
        <v>8.4400000000000003E-2</v>
      </c>
      <c r="K37" s="122">
        <f t="shared" si="6"/>
        <v>5.1862934556101761E-3</v>
      </c>
      <c r="L37" s="49">
        <v>8.4400000000000003E-2</v>
      </c>
      <c r="M37">
        <f t="shared" si="7"/>
        <v>5.2617271543509174E-3</v>
      </c>
      <c r="N37" s="23">
        <v>8.2500000000000004E-2</v>
      </c>
      <c r="O37" s="35">
        <f t="shared" si="8"/>
        <v>5.1432759506392263E-3</v>
      </c>
      <c r="P37" s="23">
        <v>8.2500000000000004E-2</v>
      </c>
      <c r="Q37" s="35">
        <f t="shared" si="9"/>
        <v>5.1432759506392263E-3</v>
      </c>
      <c r="U37" s="30">
        <v>0.16054417940199336</v>
      </c>
      <c r="V37" s="30">
        <f t="shared" si="1"/>
        <v>1.846705558943032E-2</v>
      </c>
      <c r="W37" s="30">
        <v>0.15952453143201448</v>
      </c>
      <c r="X37" s="30">
        <f t="shared" si="2"/>
        <v>1.9486703559409208E-2</v>
      </c>
    </row>
    <row r="38" spans="1:24" x14ac:dyDescent="0.25">
      <c r="A38" s="27" t="s">
        <v>168</v>
      </c>
      <c r="B38" s="23">
        <f>'APPENDIX A'!C234</f>
        <v>8.5866209262435683E-2</v>
      </c>
      <c r="C38" s="121">
        <f t="shared" si="3"/>
        <v>2.6442356379335692E-3</v>
      </c>
      <c r="D38" s="120">
        <v>9848060</v>
      </c>
      <c r="E38">
        <f t="shared" si="4"/>
        <v>3.0794833737820031E-2</v>
      </c>
      <c r="F38">
        <f t="shared" si="0"/>
        <v>2.6675249726343842E-3</v>
      </c>
      <c r="G38" s="37">
        <v>9752073</v>
      </c>
      <c r="H38">
        <f t="shared" si="5"/>
        <v>3.1066061906628962E-2</v>
      </c>
      <c r="J38" s="23">
        <v>7.0000000000000007E-2</v>
      </c>
      <c r="K38" s="122">
        <f t="shared" si="6"/>
        <v>2.1556383616474022E-3</v>
      </c>
      <c r="L38" s="49">
        <v>7.0000000000000007E-2</v>
      </c>
      <c r="M38">
        <f t="shared" si="7"/>
        <v>2.1746243334640277E-3</v>
      </c>
      <c r="N38" s="23">
        <v>7.0000000000000007E-2</v>
      </c>
      <c r="O38" s="35">
        <f t="shared" si="8"/>
        <v>2.1746243334640277E-3</v>
      </c>
      <c r="P38" s="23">
        <v>7.0000000000000007E-2</v>
      </c>
      <c r="Q38" s="35">
        <f t="shared" si="9"/>
        <v>2.1746243334640277E-3</v>
      </c>
      <c r="R38" t="s">
        <v>264</v>
      </c>
      <c r="U38" s="29">
        <v>9.4327242524916949E-2</v>
      </c>
      <c r="V38" s="29">
        <f t="shared" si="1"/>
        <v>-8.4610332624812656E-3</v>
      </c>
      <c r="W38" s="30">
        <v>8.3366639887527613E-2</v>
      </c>
      <c r="X38" s="30">
        <f t="shared" si="2"/>
        <v>2.49956937490807E-3</v>
      </c>
    </row>
    <row r="39" spans="1:24" x14ac:dyDescent="0.25">
      <c r="A39" s="27" t="s">
        <v>171</v>
      </c>
      <c r="B39" s="23">
        <f>'APPENDIX A'!C242</f>
        <v>0.12265866209262435</v>
      </c>
      <c r="C39" s="121">
        <f t="shared" si="3"/>
        <v>2.7745956623461305E-4</v>
      </c>
      <c r="D39" s="120">
        <v>723393</v>
      </c>
      <c r="E39">
        <f t="shared" si="4"/>
        <v>2.2620462468854624E-3</v>
      </c>
      <c r="F39">
        <f t="shared" si="0"/>
        <v>2.7337239978988704E-4</v>
      </c>
      <c r="G39" s="37">
        <v>699628</v>
      </c>
      <c r="H39">
        <f t="shared" si="5"/>
        <v>2.2287247808349064E-3</v>
      </c>
      <c r="J39" s="23">
        <v>7.0000000000000007E-2</v>
      </c>
      <c r="K39" s="122">
        <f t="shared" si="6"/>
        <v>1.5834323728198239E-4</v>
      </c>
      <c r="L39" s="49">
        <v>6.7500000000000004E-2</v>
      </c>
      <c r="M39">
        <f t="shared" si="7"/>
        <v>1.504389227063562E-4</v>
      </c>
      <c r="N39" s="23">
        <v>6.5000000000000002E-2</v>
      </c>
      <c r="O39" s="35">
        <f t="shared" si="8"/>
        <v>1.4486711075426892E-4</v>
      </c>
      <c r="P39" s="23">
        <v>6.25E-2</v>
      </c>
      <c r="Q39" s="35">
        <f t="shared" si="9"/>
        <v>1.3929529880218165E-4</v>
      </c>
      <c r="U39" s="29">
        <v>0.10680232558139535</v>
      </c>
      <c r="V39" s="29">
        <f t="shared" si="1"/>
        <v>1.5856336511229002E-2</v>
      </c>
      <c r="W39" s="29">
        <v>0.10608857200241013</v>
      </c>
      <c r="X39" s="29">
        <f t="shared" si="2"/>
        <v>1.6570090090214221E-2</v>
      </c>
    </row>
    <row r="40" spans="1:24" x14ac:dyDescent="0.25">
      <c r="A40" s="27" t="s">
        <v>174</v>
      </c>
      <c r="B40" s="23">
        <f>'APPENDIX A'!C249</f>
        <v>8.4160205831903936E-2</v>
      </c>
      <c r="C40" s="121">
        <f t="shared" si="3"/>
        <v>3.0450726173166828E-3</v>
      </c>
      <c r="D40" s="120">
        <v>11570808</v>
      </c>
      <c r="E40">
        <f t="shared" si="4"/>
        <v>3.6181858007794214E-2</v>
      </c>
      <c r="F40">
        <f t="shared" si="0"/>
        <v>3.0950012690410763E-3</v>
      </c>
      <c r="G40" s="37">
        <v>11544225</v>
      </c>
      <c r="H40">
        <f t="shared" si="5"/>
        <v>3.6775115251296182E-2</v>
      </c>
      <c r="J40" s="23">
        <v>7.7499999999999999E-2</v>
      </c>
      <c r="K40" s="122">
        <f t="shared" si="6"/>
        <v>2.8040939956040516E-3</v>
      </c>
      <c r="L40" s="49">
        <v>7.7499999999999999E-2</v>
      </c>
      <c r="M40">
        <f t="shared" si="7"/>
        <v>2.8500714319754541E-3</v>
      </c>
      <c r="N40" s="23">
        <v>7.4999999999999997E-2</v>
      </c>
      <c r="O40" s="35">
        <f t="shared" si="8"/>
        <v>2.7581336438472137E-3</v>
      </c>
      <c r="P40" s="23">
        <v>7.2499999999999995E-2</v>
      </c>
      <c r="Q40" s="35">
        <f t="shared" si="9"/>
        <v>2.6661958557189732E-3</v>
      </c>
      <c r="R40" t="s">
        <v>429</v>
      </c>
      <c r="U40" s="29">
        <v>7.9513953488372105E-2</v>
      </c>
      <c r="V40" s="29">
        <f t="shared" si="1"/>
        <v>4.6462523435318315E-3</v>
      </c>
      <c r="W40" s="29">
        <v>7.9323619200642709E-2</v>
      </c>
      <c r="X40" s="29">
        <f t="shared" si="2"/>
        <v>4.8365866312612277E-3</v>
      </c>
    </row>
    <row r="41" spans="1:24" x14ac:dyDescent="0.25">
      <c r="A41" s="27" t="s">
        <v>178</v>
      </c>
      <c r="B41" s="23">
        <f>'APPENDIX A'!C256</f>
        <v>0.10876681166380789</v>
      </c>
      <c r="C41" s="121">
        <f t="shared" si="3"/>
        <v>1.3096292705621873E-3</v>
      </c>
      <c r="D41" s="120">
        <v>3850568</v>
      </c>
      <c r="E41">
        <f t="shared" si="4"/>
        <v>1.2040706632186461E-2</v>
      </c>
      <c r="F41">
        <f t="shared" si="0"/>
        <v>1.321781620444016E-3</v>
      </c>
      <c r="G41" s="37">
        <v>3814820</v>
      </c>
      <c r="H41">
        <f t="shared" si="5"/>
        <v>1.2152435106120135E-2</v>
      </c>
      <c r="J41" s="23">
        <v>8.4500000000000006E-2</v>
      </c>
      <c r="K41" s="122">
        <f t="shared" si="6"/>
        <v>1.017439710419756E-3</v>
      </c>
      <c r="L41" s="49">
        <v>8.4500000000000006E-2</v>
      </c>
      <c r="M41">
        <f t="shared" si="7"/>
        <v>1.0268807664671514E-3</v>
      </c>
      <c r="N41" s="23">
        <v>8.4500000000000006E-2</v>
      </c>
      <c r="O41" s="35">
        <f t="shared" si="8"/>
        <v>1.0268807664671514E-3</v>
      </c>
      <c r="P41" s="23">
        <v>8.4500000000000006E-2</v>
      </c>
      <c r="Q41" s="35">
        <f t="shared" si="9"/>
        <v>1.0268807664671514E-3</v>
      </c>
      <c r="U41" s="29">
        <v>0.10704465980066447</v>
      </c>
      <c r="V41" s="29">
        <f t="shared" si="1"/>
        <v>1.7221518631434229E-3</v>
      </c>
      <c r="W41" s="29">
        <v>0.10670477714400484</v>
      </c>
      <c r="X41" s="29">
        <f t="shared" si="2"/>
        <v>2.0620345198030521E-3</v>
      </c>
    </row>
    <row r="42" spans="1:24" x14ac:dyDescent="0.25">
      <c r="A42" s="27" t="s">
        <v>181</v>
      </c>
      <c r="B42" s="23">
        <f>'APPENDIX A'!C262</f>
        <v>1.8010291595197254E-2</v>
      </c>
      <c r="C42" s="121">
        <f t="shared" si="3"/>
        <v>2.213337567057629E-4</v>
      </c>
      <c r="D42" s="120">
        <v>3930065</v>
      </c>
      <c r="E42">
        <f t="shared" si="4"/>
        <v>1.228929334851998E-2</v>
      </c>
      <c r="F42">
        <f t="shared" si="0"/>
        <v>2.2371883896179731E-4</v>
      </c>
      <c r="G42" s="37">
        <v>3899353</v>
      </c>
      <c r="H42">
        <f t="shared" si="5"/>
        <v>1.2421722201402651E-2</v>
      </c>
      <c r="J42" s="70">
        <v>0</v>
      </c>
      <c r="K42" s="122">
        <f t="shared" si="6"/>
        <v>0</v>
      </c>
      <c r="L42" s="49">
        <v>0</v>
      </c>
      <c r="M42">
        <f t="shared" si="7"/>
        <v>0</v>
      </c>
      <c r="N42" s="23">
        <v>0</v>
      </c>
      <c r="O42" s="35">
        <f t="shared" si="8"/>
        <v>0</v>
      </c>
      <c r="P42" s="23">
        <v>0</v>
      </c>
      <c r="Q42" s="35">
        <f t="shared" si="9"/>
        <v>0</v>
      </c>
      <c r="U42" s="29">
        <v>1.7441860465116282E-2</v>
      </c>
      <c r="V42" s="29">
        <f t="shared" si="1"/>
        <v>5.6843113008097149E-4</v>
      </c>
      <c r="W42" s="29">
        <v>1.6870857601928097E-2</v>
      </c>
      <c r="X42" s="29">
        <f t="shared" si="2"/>
        <v>1.1394339932691566E-3</v>
      </c>
    </row>
    <row r="43" spans="1:24" x14ac:dyDescent="0.25">
      <c r="A43" s="31" t="s">
        <v>185</v>
      </c>
      <c r="B43" s="24">
        <f>'APPENDIX A'!C270</f>
        <v>0.14144082332761576</v>
      </c>
      <c r="C43" s="121">
        <f t="shared" si="3"/>
        <v>5.6496572301134576E-3</v>
      </c>
      <c r="D43" s="120">
        <v>12773801</v>
      </c>
      <c r="E43">
        <f t="shared" si="4"/>
        <v>3.9943611025420156E-2</v>
      </c>
      <c r="F43">
        <f t="shared" si="0"/>
        <v>5.750889767184875E-3</v>
      </c>
      <c r="G43" s="37">
        <v>12763536</v>
      </c>
      <c r="H43">
        <f t="shared" si="5"/>
        <v>4.0659334638234082E-2</v>
      </c>
      <c r="J43" s="23">
        <v>7.0000000000000007E-2</v>
      </c>
      <c r="K43" s="122">
        <f t="shared" si="6"/>
        <v>2.796052771779411E-3</v>
      </c>
      <c r="L43" s="49">
        <v>7.0000000000000007E-2</v>
      </c>
      <c r="M43">
        <f t="shared" si="7"/>
        <v>2.8461534246763862E-3</v>
      </c>
      <c r="N43" s="23">
        <v>7.0000000000000007E-2</v>
      </c>
      <c r="O43" s="35">
        <f t="shared" si="8"/>
        <v>2.8461534246763862E-3</v>
      </c>
      <c r="P43" s="23">
        <v>7.0000000000000007E-2</v>
      </c>
      <c r="Q43" s="35">
        <f t="shared" si="9"/>
        <v>2.8461534246763862E-3</v>
      </c>
      <c r="U43" s="30">
        <v>0.13576411960132892</v>
      </c>
      <c r="V43" s="30">
        <f t="shared" si="1"/>
        <v>5.6767037262868414E-3</v>
      </c>
      <c r="W43" s="30">
        <v>0.13508435428800963</v>
      </c>
      <c r="X43" s="30">
        <f t="shared" si="2"/>
        <v>6.3564690396061274E-3</v>
      </c>
    </row>
    <row r="44" spans="1:24" x14ac:dyDescent="0.25">
      <c r="A44" s="27" t="s">
        <v>444</v>
      </c>
      <c r="B44" s="24">
        <f>'APPENDIX A'!C275</f>
        <v>0.13446351166380791</v>
      </c>
      <c r="C44" s="121">
        <f t="shared" si="3"/>
        <v>1.5418514618405306E-3</v>
      </c>
      <c r="D44" s="120">
        <v>3667000</v>
      </c>
      <c r="E44">
        <f t="shared" si="4"/>
        <v>1.1466690425991114E-2</v>
      </c>
      <c r="F44">
        <f t="shared" si="0"/>
        <v>0</v>
      </c>
      <c r="G44" s="37"/>
      <c r="H44">
        <f t="shared" si="5"/>
        <v>0</v>
      </c>
      <c r="J44" s="23">
        <v>0.115</v>
      </c>
      <c r="K44" s="122">
        <f t="shared" si="6"/>
        <v>1.3186693989889781E-3</v>
      </c>
      <c r="L44" s="49">
        <v>7.0000000000000007E-2</v>
      </c>
      <c r="N44" s="23"/>
      <c r="O44" s="35"/>
      <c r="P44" s="23"/>
      <c r="Q44" s="35"/>
      <c r="U44" s="30"/>
      <c r="V44" s="30"/>
      <c r="W44" s="30"/>
      <c r="X44" s="30"/>
    </row>
    <row r="45" spans="1:24" x14ac:dyDescent="0.25">
      <c r="A45" s="31" t="s">
        <v>188</v>
      </c>
      <c r="B45" s="24">
        <f>'APPENDIX A'!C282</f>
        <v>0.14701543739279588</v>
      </c>
      <c r="C45" s="121">
        <f t="shared" si="3"/>
        <v>4.8339698614517098E-4</v>
      </c>
      <c r="D45" s="120">
        <v>1051511</v>
      </c>
      <c r="E45">
        <f t="shared" si="4"/>
        <v>3.2880695709092836E-3</v>
      </c>
      <c r="F45">
        <f t="shared" ref="F45:F56" si="10">B45*H45</f>
        <v>4.9188350342709865E-4</v>
      </c>
      <c r="G45" s="37">
        <v>1050292</v>
      </c>
      <c r="H45">
        <f t="shared" si="5"/>
        <v>3.3457949188892603E-3</v>
      </c>
      <c r="J45" s="70">
        <v>7.0000000000000007E-2</v>
      </c>
      <c r="K45" s="122">
        <f t="shared" si="6"/>
        <v>2.3016486996364988E-4</v>
      </c>
      <c r="L45" s="49">
        <v>7.0000000000000007E-2</v>
      </c>
      <c r="M45">
        <f t="shared" si="7"/>
        <v>2.3420564432224825E-4</v>
      </c>
      <c r="N45" s="23">
        <v>7.0000000000000007E-2</v>
      </c>
      <c r="O45" s="35">
        <f t="shared" si="8"/>
        <v>2.3420564432224825E-4</v>
      </c>
      <c r="P45" s="23">
        <v>7.0000000000000007E-2</v>
      </c>
      <c r="Q45" s="35">
        <f t="shared" si="9"/>
        <v>2.3420564432224825E-4</v>
      </c>
      <c r="U45" s="29">
        <v>0.14616279069767443</v>
      </c>
      <c r="V45" s="29">
        <f t="shared" ref="V45:V56" si="11">B45-U45</f>
        <v>8.5264669512144509E-4</v>
      </c>
      <c r="W45" s="29">
        <v>0.14530628640289214</v>
      </c>
      <c r="X45" s="29">
        <f t="shared" ref="X45:X56" si="12">B45-W45</f>
        <v>1.7091509899037349E-3</v>
      </c>
    </row>
    <row r="46" spans="1:24" x14ac:dyDescent="0.25">
      <c r="A46" s="27" t="s">
        <v>194</v>
      </c>
      <c r="B46" s="23">
        <f>'APPENDIX A'!C289</f>
        <v>0.10579331046312176</v>
      </c>
      <c r="C46" s="121">
        <f t="shared" si="3"/>
        <v>1.5795890607023541E-3</v>
      </c>
      <c r="D46" s="120">
        <v>4774839</v>
      </c>
      <c r="E46">
        <f t="shared" si="4"/>
        <v>1.4930897367589034E-2</v>
      </c>
      <c r="F46">
        <f t="shared" si="10"/>
        <v>1.5919590403818478E-3</v>
      </c>
      <c r="G46" s="37">
        <v>4723723</v>
      </c>
      <c r="H46">
        <f t="shared" si="5"/>
        <v>1.5047823283087307E-2</v>
      </c>
      <c r="J46" s="23">
        <v>8.2500000000000004E-2</v>
      </c>
      <c r="K46" s="122">
        <f t="shared" si="6"/>
        <v>1.2317990328260954E-3</v>
      </c>
      <c r="L46" s="49">
        <v>8.2500000000000004E-2</v>
      </c>
      <c r="M46">
        <f t="shared" si="7"/>
        <v>1.241445420854703E-3</v>
      </c>
      <c r="N46" s="23">
        <v>8.2500000000000004E-2</v>
      </c>
      <c r="O46" s="35">
        <f t="shared" si="8"/>
        <v>1.241445420854703E-3</v>
      </c>
      <c r="P46" s="23">
        <v>7.7499999999999999E-2</v>
      </c>
      <c r="Q46" s="35">
        <f t="shared" si="9"/>
        <v>1.1662063044392663E-3</v>
      </c>
      <c r="U46" s="29">
        <v>9.5166112956810628E-2</v>
      </c>
      <c r="V46" s="29">
        <f t="shared" si="11"/>
        <v>1.0627197506311137E-2</v>
      </c>
      <c r="W46" s="29">
        <v>9.4751456115685875E-2</v>
      </c>
      <c r="X46" s="29">
        <f t="shared" si="12"/>
        <v>1.1041854347435889E-2</v>
      </c>
    </row>
    <row r="47" spans="1:24" x14ac:dyDescent="0.25">
      <c r="A47" s="27" t="s">
        <v>197</v>
      </c>
      <c r="B47" s="23">
        <f>'APPENDIX A'!C298</f>
        <v>0.13141715265866211</v>
      </c>
      <c r="C47" s="121">
        <f t="shared" si="3"/>
        <v>3.4719440553711647E-4</v>
      </c>
      <c r="D47" s="120">
        <v>844877</v>
      </c>
      <c r="E47">
        <f t="shared" si="4"/>
        <v>2.6419260995473397E-3</v>
      </c>
      <c r="F47">
        <f t="shared" si="10"/>
        <v>3.4887579363034125E-4</v>
      </c>
      <c r="G47" s="37">
        <v>833354</v>
      </c>
      <c r="H47">
        <f t="shared" si="5"/>
        <v>2.6547203814139692E-3</v>
      </c>
      <c r="J47" s="70">
        <v>0.06</v>
      </c>
      <c r="K47" s="122">
        <f t="shared" si="6"/>
        <v>1.5851556597284037E-4</v>
      </c>
      <c r="L47" s="49">
        <v>0.06</v>
      </c>
      <c r="M47">
        <f t="shared" si="7"/>
        <v>1.5928322288483814E-4</v>
      </c>
      <c r="N47" s="23">
        <v>0.06</v>
      </c>
      <c r="O47" s="35">
        <f t="shared" si="8"/>
        <v>1.5928322288483814E-4</v>
      </c>
      <c r="P47" s="23">
        <v>0.06</v>
      </c>
      <c r="Q47" s="35">
        <f t="shared" si="9"/>
        <v>1.5928322288483814E-4</v>
      </c>
      <c r="U47" s="29">
        <v>0.12018770764119602</v>
      </c>
      <c r="V47" s="29">
        <f t="shared" si="11"/>
        <v>1.1229445017466089E-2</v>
      </c>
      <c r="W47" s="29">
        <v>0.11957591885920868</v>
      </c>
      <c r="X47" s="29">
        <f t="shared" si="12"/>
        <v>1.1841233799453427E-2</v>
      </c>
    </row>
    <row r="48" spans="1:24" x14ac:dyDescent="0.25">
      <c r="A48" s="27" t="s">
        <v>205</v>
      </c>
      <c r="B48" s="23">
        <f>'APPENDIX A'!C304</f>
        <v>0.1198713550600343</v>
      </c>
      <c r="C48" s="121">
        <f t="shared" si="3"/>
        <v>2.4349336857720483E-3</v>
      </c>
      <c r="D48" s="120">
        <v>6495978</v>
      </c>
      <c r="E48">
        <f t="shared" si="4"/>
        <v>2.0312890302713091E-2</v>
      </c>
      <c r="F48">
        <f t="shared" si="10"/>
        <v>2.4653838261164138E-3</v>
      </c>
      <c r="G48" s="37">
        <v>6456243</v>
      </c>
      <c r="H48">
        <f t="shared" si="5"/>
        <v>2.0566913795891383E-2</v>
      </c>
      <c r="J48" s="23">
        <v>9.2499999999999999E-2</v>
      </c>
      <c r="K48" s="122">
        <f t="shared" si="6"/>
        <v>1.8789423530009609E-3</v>
      </c>
      <c r="L48" s="49">
        <v>9.2499999999999999E-2</v>
      </c>
      <c r="M48">
        <f t="shared" si="7"/>
        <v>1.9024395261199529E-3</v>
      </c>
      <c r="N48" s="23">
        <v>9.2499999999999999E-2</v>
      </c>
      <c r="O48" s="35">
        <f t="shared" si="8"/>
        <v>1.9024395261199529E-3</v>
      </c>
      <c r="P48" s="23">
        <v>9.2499999999999999E-2</v>
      </c>
      <c r="Q48" s="35">
        <f t="shared" si="9"/>
        <v>1.9024395261199529E-3</v>
      </c>
      <c r="U48" s="29">
        <v>0.1157641196013289</v>
      </c>
      <c r="V48" s="29">
        <f t="shared" si="11"/>
        <v>4.1072354587053939E-3</v>
      </c>
      <c r="W48" s="29">
        <v>0.11508435428800964</v>
      </c>
      <c r="X48" s="29">
        <f t="shared" si="12"/>
        <v>4.7870007720246521E-3</v>
      </c>
    </row>
    <row r="49" spans="1:24" x14ac:dyDescent="0.25">
      <c r="A49" s="31" t="s">
        <v>259</v>
      </c>
      <c r="B49" s="24">
        <f>'APPENDIX A'!C312</f>
        <v>0.11526386106346484</v>
      </c>
      <c r="C49" s="121">
        <f t="shared" si="3"/>
        <v>9.5327092357965632E-3</v>
      </c>
      <c r="D49" s="120">
        <v>26448193</v>
      </c>
      <c r="E49">
        <f t="shared" si="4"/>
        <v>8.2703365546186305E-2</v>
      </c>
      <c r="F49">
        <f t="shared" si="10"/>
        <v>9.5684931900995134E-3</v>
      </c>
      <c r="G49" s="37">
        <v>26059203</v>
      </c>
      <c r="H49">
        <f t="shared" si="5"/>
        <v>8.3013818050317212E-2</v>
      </c>
      <c r="J49" s="23">
        <v>8.2500000000000004E-2</v>
      </c>
      <c r="K49" s="122">
        <f t="shared" si="6"/>
        <v>6.8230276575603705E-3</v>
      </c>
      <c r="L49" s="49">
        <v>8.2500000000000004E-2</v>
      </c>
      <c r="M49">
        <f t="shared" si="7"/>
        <v>6.8486399891511699E-3</v>
      </c>
      <c r="N49" s="23">
        <v>8.2500000000000004E-2</v>
      </c>
      <c r="O49" s="35">
        <f t="shared" si="8"/>
        <v>6.8486399891511699E-3</v>
      </c>
      <c r="P49" s="23">
        <v>8.2500000000000004E-2</v>
      </c>
      <c r="Q49" s="35">
        <f t="shared" si="9"/>
        <v>6.8486399891511699E-3</v>
      </c>
      <c r="U49" s="29">
        <v>0.12426805980066445</v>
      </c>
      <c r="V49" s="29">
        <f t="shared" si="11"/>
        <v>-9.0041987371996118E-3</v>
      </c>
      <c r="W49" s="29">
        <v>0.12392817714400482</v>
      </c>
      <c r="X49" s="29">
        <f t="shared" si="12"/>
        <v>-8.6643160805399827E-3</v>
      </c>
    </row>
    <row r="50" spans="1:24" x14ac:dyDescent="0.25">
      <c r="A50" s="27" t="s">
        <v>215</v>
      </c>
      <c r="B50" s="23">
        <f>'APPENDIX A'!C323</f>
        <v>0.12772910806174959</v>
      </c>
      <c r="C50" s="121">
        <f t="shared" si="3"/>
        <v>1.1586322784361833E-3</v>
      </c>
      <c r="D50" s="120">
        <v>2900872</v>
      </c>
      <c r="E50">
        <f t="shared" si="4"/>
        <v>9.0710120505660477E-3</v>
      </c>
      <c r="F50">
        <f t="shared" si="10"/>
        <v>1.1617934061512788E-3</v>
      </c>
      <c r="G50" s="37">
        <v>2855287</v>
      </c>
      <c r="H50">
        <f t="shared" si="5"/>
        <v>9.0957607375573256E-3</v>
      </c>
      <c r="J50" s="23">
        <v>6.8000000000000005E-2</v>
      </c>
      <c r="K50" s="122">
        <f t="shared" si="6"/>
        <v>6.1682881943849127E-4</v>
      </c>
      <c r="L50" s="49">
        <v>6.8000000000000005E-2</v>
      </c>
      <c r="M50">
        <f t="shared" si="7"/>
        <v>6.1851173015389815E-4</v>
      </c>
      <c r="N50" s="23">
        <v>6.8000000000000005E-2</v>
      </c>
      <c r="O50" s="35">
        <f t="shared" si="8"/>
        <v>6.1851173015389815E-4</v>
      </c>
      <c r="P50" s="23">
        <v>6.8000000000000005E-2</v>
      </c>
      <c r="Q50" s="35">
        <f t="shared" si="9"/>
        <v>6.1851173015389815E-4</v>
      </c>
      <c r="U50" s="29">
        <v>0.12161123089700998</v>
      </c>
      <c r="V50" s="29">
        <f t="shared" si="11"/>
        <v>6.1178771647396046E-3</v>
      </c>
      <c r="W50" s="29">
        <v>0.12109460925888733</v>
      </c>
      <c r="X50" s="29">
        <f t="shared" si="12"/>
        <v>6.6344988028622515E-3</v>
      </c>
    </row>
    <row r="51" spans="1:24" x14ac:dyDescent="0.25">
      <c r="A51" s="27" t="s">
        <v>261</v>
      </c>
      <c r="B51" s="23">
        <f>'APPENDIX A'!C329</f>
        <v>8.5000000000000006E-2</v>
      </c>
      <c r="C51" s="121">
        <f t="shared" si="3"/>
        <v>1.6655485106062152E-4</v>
      </c>
      <c r="D51" s="120">
        <v>626630</v>
      </c>
      <c r="E51">
        <f t="shared" si="4"/>
        <v>1.9594688360073118E-3</v>
      </c>
      <c r="F51">
        <f t="shared" si="10"/>
        <v>1.6950798059239404E-4</v>
      </c>
      <c r="G51" s="37">
        <v>626011</v>
      </c>
      <c r="H51">
        <f t="shared" si="5"/>
        <v>1.9942115363811063E-3</v>
      </c>
      <c r="J51" s="23">
        <v>6.5000000000000002E-2</v>
      </c>
      <c r="K51" s="122">
        <f t="shared" si="6"/>
        <v>1.2736547434047526E-4</v>
      </c>
      <c r="L51" s="49">
        <v>6.5000000000000002E-2</v>
      </c>
      <c r="M51">
        <f t="shared" si="7"/>
        <v>1.2962374986477191E-4</v>
      </c>
      <c r="N51" s="23">
        <v>6.5000000000000002E-2</v>
      </c>
      <c r="O51" s="35">
        <f t="shared" si="8"/>
        <v>1.2962374986477191E-4</v>
      </c>
      <c r="P51" s="23">
        <v>6.5000000000000002E-2</v>
      </c>
      <c r="Q51" s="35">
        <f t="shared" si="9"/>
        <v>1.2962374986477191E-4</v>
      </c>
      <c r="R51" t="s">
        <v>419</v>
      </c>
      <c r="U51" s="29">
        <v>8.5000000000000006E-2</v>
      </c>
      <c r="V51" s="29">
        <f t="shared" si="11"/>
        <v>0</v>
      </c>
      <c r="W51" s="29">
        <v>8.2000000000000003E-2</v>
      </c>
      <c r="X51" s="29">
        <f t="shared" si="12"/>
        <v>3.0000000000000027E-3</v>
      </c>
    </row>
    <row r="52" spans="1:24" x14ac:dyDescent="0.25">
      <c r="A52" s="27" t="s">
        <v>225</v>
      </c>
      <c r="B52" s="23">
        <f>'APPENDIX A'!C334</f>
        <v>6.6080617495711841E-2</v>
      </c>
      <c r="C52" s="121">
        <f t="shared" si="3"/>
        <v>1.7068785128748359E-3</v>
      </c>
      <c r="D52" s="120">
        <v>8260405</v>
      </c>
      <c r="E52">
        <f t="shared" si="4"/>
        <v>2.583024459457571E-2</v>
      </c>
      <c r="F52">
        <f t="shared" si="10"/>
        <v>1.7231696489197177E-3</v>
      </c>
      <c r="G52" s="37">
        <v>8185867</v>
      </c>
      <c r="H52">
        <f t="shared" si="5"/>
        <v>2.607677885321727E-2</v>
      </c>
      <c r="J52" s="23">
        <f>(6%+5.3%)/2</f>
        <v>5.6499999999999995E-2</v>
      </c>
      <c r="K52" s="122">
        <f t="shared" si="6"/>
        <v>1.4594088195935275E-3</v>
      </c>
      <c r="L52" s="49">
        <v>5.6500000000000002E-2</v>
      </c>
      <c r="M52">
        <f t="shared" si="7"/>
        <v>1.4733380052067758E-3</v>
      </c>
      <c r="N52" s="23">
        <v>0.05</v>
      </c>
      <c r="O52" s="35">
        <f t="shared" si="8"/>
        <v>1.3038389426608635E-3</v>
      </c>
      <c r="P52" s="23">
        <v>0.05</v>
      </c>
      <c r="Q52" s="35">
        <f t="shared" si="9"/>
        <v>1.3038389426608635E-3</v>
      </c>
      <c r="R52" t="s">
        <v>426</v>
      </c>
      <c r="U52" s="29">
        <v>6.5573089700996678E-2</v>
      </c>
      <c r="V52" s="29">
        <f t="shared" si="11"/>
        <v>5.0752779471516241E-4</v>
      </c>
      <c r="W52" s="29">
        <v>6.5063265716007235E-2</v>
      </c>
      <c r="X52" s="29">
        <f t="shared" si="12"/>
        <v>1.0173517797046061E-3</v>
      </c>
    </row>
    <row r="53" spans="1:24" x14ac:dyDescent="0.25">
      <c r="A53" s="31" t="s">
        <v>227</v>
      </c>
      <c r="B53" s="24">
        <f>'APPENDIX A'!C342</f>
        <v>0.18686878216123498</v>
      </c>
      <c r="C53" s="121">
        <f t="shared" si="3"/>
        <v>4.0736555938583382E-3</v>
      </c>
      <c r="D53" s="120">
        <v>6971406</v>
      </c>
      <c r="E53">
        <f t="shared" si="4"/>
        <v>2.1799551250585494E-2</v>
      </c>
      <c r="F53">
        <f t="shared" si="10"/>
        <v>4.1056979579232062E-3</v>
      </c>
      <c r="G53" s="37">
        <v>6897012</v>
      </c>
      <c r="H53">
        <f t="shared" si="5"/>
        <v>2.1971021111384506E-2</v>
      </c>
      <c r="J53" s="23">
        <v>9.1499999999999998E-2</v>
      </c>
      <c r="K53" s="122">
        <f t="shared" si="6"/>
        <v>1.9946589394285725E-3</v>
      </c>
      <c r="L53" s="49">
        <v>9.1499999999999998E-2</v>
      </c>
      <c r="M53">
        <f t="shared" si="7"/>
        <v>2.0103484316916823E-3</v>
      </c>
      <c r="N53" s="23">
        <v>9.1499999999999998E-2</v>
      </c>
      <c r="O53" s="35">
        <f t="shared" si="8"/>
        <v>2.0103484316916823E-3</v>
      </c>
      <c r="P53" s="23">
        <v>9.0999999999999998E-2</v>
      </c>
      <c r="Q53" s="35">
        <f t="shared" si="9"/>
        <v>1.9993629211359902E-3</v>
      </c>
      <c r="U53" s="29">
        <v>0.18588488372093023</v>
      </c>
      <c r="V53" s="29">
        <f t="shared" si="11"/>
        <v>9.8389844030474793E-4</v>
      </c>
      <c r="W53" s="29">
        <v>0.18540904800160676</v>
      </c>
      <c r="X53" s="29">
        <f t="shared" si="12"/>
        <v>1.4597341596282176E-3</v>
      </c>
    </row>
    <row r="54" spans="1:24" x14ac:dyDescent="0.25">
      <c r="A54" s="27" t="s">
        <v>231</v>
      </c>
      <c r="B54" s="23">
        <f>'APPENDIX A'!C346</f>
        <v>6.4322469982847338E-2</v>
      </c>
      <c r="C54" s="121">
        <f t="shared" si="3"/>
        <v>3.7296735949525646E-4</v>
      </c>
      <c r="D54" s="120">
        <v>1854304</v>
      </c>
      <c r="E54">
        <f t="shared" si="4"/>
        <v>5.7983992156195874E-3</v>
      </c>
      <c r="F54">
        <f t="shared" si="10"/>
        <v>3.8018289018957143E-4</v>
      </c>
      <c r="G54" s="37">
        <v>1855413</v>
      </c>
      <c r="H54">
        <f t="shared" si="5"/>
        <v>5.9105766661472041E-3</v>
      </c>
      <c r="J54" s="23">
        <v>7.0000000000000007E-2</v>
      </c>
      <c r="K54" s="122">
        <f t="shared" si="6"/>
        <v>4.0588794509337114E-4</v>
      </c>
      <c r="L54" s="49">
        <v>6.7500000000000004E-2</v>
      </c>
      <c r="M54">
        <f t="shared" si="7"/>
        <v>3.989639249649363E-4</v>
      </c>
      <c r="N54" s="23">
        <v>0.06</v>
      </c>
      <c r="O54" s="35">
        <f t="shared" si="8"/>
        <v>3.5463459996883226E-4</v>
      </c>
      <c r="P54" s="23">
        <v>0.06</v>
      </c>
      <c r="Q54" s="35">
        <f t="shared" si="9"/>
        <v>3.5463459996883226E-4</v>
      </c>
      <c r="R54" t="s">
        <v>427</v>
      </c>
      <c r="U54" s="29">
        <v>6.2292358803986717E-2</v>
      </c>
      <c r="V54" s="29">
        <f t="shared" si="11"/>
        <v>2.0301111788606219E-3</v>
      </c>
      <c r="W54" s="29">
        <v>6.0253062864028921E-2</v>
      </c>
      <c r="X54" s="29">
        <f t="shared" si="12"/>
        <v>4.0694071188184175E-3</v>
      </c>
    </row>
    <row r="55" spans="1:24" x14ac:dyDescent="0.25">
      <c r="A55" s="27" t="s">
        <v>233</v>
      </c>
      <c r="B55" s="23">
        <f>'APPENDIX A'!C354</f>
        <v>7.1743968795711835E-2</v>
      </c>
      <c r="C55" s="121">
        <f t="shared" si="3"/>
        <v>1.2883376177741717E-3</v>
      </c>
      <c r="D55" s="120">
        <v>5742713</v>
      </c>
      <c r="E55">
        <f t="shared" si="4"/>
        <v>1.7957434463134636E-2</v>
      </c>
      <c r="F55">
        <f t="shared" si="10"/>
        <v>1.3087484695613698E-3</v>
      </c>
      <c r="G55" s="37">
        <v>5726398</v>
      </c>
      <c r="H55">
        <f t="shared" si="5"/>
        <v>1.824193017935738E-2</v>
      </c>
      <c r="J55" s="23">
        <v>5.5500000000000001E-2</v>
      </c>
      <c r="K55" s="122">
        <f t="shared" si="6"/>
        <v>9.9663761270397228E-4</v>
      </c>
      <c r="L55" s="49">
        <v>5.5500000000000001E-2</v>
      </c>
      <c r="M55">
        <f t="shared" si="7"/>
        <v>1.0124271249543346E-3</v>
      </c>
      <c r="N55" s="23">
        <v>5.5500000000000001E-2</v>
      </c>
      <c r="O55" s="35">
        <f t="shared" si="8"/>
        <v>1.0124271249543346E-3</v>
      </c>
      <c r="P55" s="23">
        <v>5.5500000000000001E-2</v>
      </c>
      <c r="Q55" s="35">
        <f t="shared" si="9"/>
        <v>1.0124271249543346E-3</v>
      </c>
      <c r="U55" s="30">
        <v>7.2100498300996685E-2</v>
      </c>
      <c r="V55" s="30">
        <f t="shared" si="11"/>
        <v>-3.5652950528484995E-4</v>
      </c>
      <c r="W55" s="30">
        <v>5.5500000000000001E-2</v>
      </c>
      <c r="X55" s="30">
        <f t="shared" si="12"/>
        <v>1.6243968795711834E-2</v>
      </c>
    </row>
    <row r="56" spans="1:24" x14ac:dyDescent="0.25">
      <c r="A56" s="27" t="s">
        <v>237</v>
      </c>
      <c r="B56" s="23">
        <f>'APPENDIX A'!C362</f>
        <v>7.9486250428816477E-2</v>
      </c>
      <c r="C56" s="121">
        <f t="shared" si="3"/>
        <v>1.4482145358413751E-4</v>
      </c>
      <c r="D56" s="120">
        <v>582658</v>
      </c>
      <c r="E56">
        <f t="shared" si="4"/>
        <v>1.8219686147333326E-3</v>
      </c>
      <c r="F56">
        <f t="shared" si="10"/>
        <v>1.4595342273373616E-4</v>
      </c>
      <c r="G56" s="37">
        <v>576412</v>
      </c>
      <c r="H56">
        <f t="shared" si="5"/>
        <v>1.8362096833897585E-3</v>
      </c>
      <c r="J56" s="23">
        <v>5.5E-2</v>
      </c>
      <c r="K56" s="122">
        <f t="shared" si="6"/>
        <v>1.0020827381033329E-4</v>
      </c>
      <c r="L56" s="49">
        <v>5.5E-2</v>
      </c>
      <c r="M56">
        <f t="shared" si="7"/>
        <v>1.0099153258643671E-4</v>
      </c>
      <c r="N56" s="23">
        <v>5.5E-2</v>
      </c>
      <c r="O56" s="35">
        <f t="shared" si="8"/>
        <v>1.0099153258643671E-4</v>
      </c>
      <c r="P56" s="23">
        <v>5.5E-2</v>
      </c>
      <c r="Q56" s="35">
        <f t="shared" si="9"/>
        <v>1.0099153258643671E-4</v>
      </c>
      <c r="U56" s="29">
        <v>7.8108936877076415E-2</v>
      </c>
      <c r="V56" s="29">
        <f t="shared" si="11"/>
        <v>1.3773135517400614E-3</v>
      </c>
      <c r="W56" s="29">
        <v>7.7558326973287808E-2</v>
      </c>
      <c r="X56" s="29">
        <f t="shared" si="12"/>
        <v>1.9279234555286684E-3</v>
      </c>
    </row>
    <row r="57" spans="1:24" x14ac:dyDescent="0.25">
      <c r="N57" s="28"/>
      <c r="O57" s="28"/>
    </row>
    <row r="58" spans="1:24" x14ac:dyDescent="0.25">
      <c r="B58" s="23">
        <f>SUM(B5:B57)/52</f>
        <v>0.10420882640809802</v>
      </c>
      <c r="C58" s="23">
        <f>SUM(C5:C57)</f>
        <v>0.11500574568331763</v>
      </c>
      <c r="D58" s="38">
        <f>SUM(D5:D57)</f>
        <v>319795849</v>
      </c>
      <c r="E58" s="38"/>
      <c r="F58" s="23">
        <v>0.1123</v>
      </c>
      <c r="G58" s="38">
        <f>SUM(G5:G57)</f>
        <v>313914040</v>
      </c>
      <c r="K58" s="41">
        <f>SUM(K5:K57)</f>
        <v>7.5655551076586974E-2</v>
      </c>
      <c r="L58" s="49">
        <f>SUM(L5:L56)/51</f>
        <v>6.7083333333333328E-2</v>
      </c>
      <c r="M58" s="23">
        <f>SUM(M5:M56)</f>
        <v>7.5060205501958438E-2</v>
      </c>
      <c r="N58" s="36">
        <f>SUM(N5:N57)/51</f>
        <v>6.4724509803921554E-2</v>
      </c>
      <c r="O58" s="5">
        <f>SUM(O5:O57)</f>
        <v>7.4158891744854752E-2</v>
      </c>
      <c r="P58" s="36">
        <f>SUM(P5:P57)/51</f>
        <v>6.4367647058823516E-2</v>
      </c>
      <c r="Q58" s="36">
        <f>SUM(Q5:Q57)</f>
        <v>7.3256491471200211E-2</v>
      </c>
      <c r="U58" s="29">
        <f>SUM(U5:U57)/51</f>
        <v>9.7365234915549478E-2</v>
      </c>
    </row>
    <row r="59" spans="1:24" x14ac:dyDescent="0.25">
      <c r="B59" s="22" t="s">
        <v>272</v>
      </c>
      <c r="C59" s="115" t="s">
        <v>270</v>
      </c>
      <c r="D59" s="115"/>
      <c r="E59" s="115"/>
      <c r="F59" s="22" t="s">
        <v>270</v>
      </c>
      <c r="G59" s="22" t="s">
        <v>474</v>
      </c>
      <c r="K59" s="119" t="s">
        <v>473</v>
      </c>
      <c r="L59" s="47" t="s">
        <v>307</v>
      </c>
      <c r="M59" s="47" t="s">
        <v>270</v>
      </c>
      <c r="N59" s="36" t="s">
        <v>272</v>
      </c>
      <c r="O59" s="16" t="s">
        <v>270</v>
      </c>
      <c r="P59" s="36" t="s">
        <v>272</v>
      </c>
      <c r="Q59" s="22" t="s">
        <v>270</v>
      </c>
    </row>
    <row r="60" spans="1:24" x14ac:dyDescent="0.25">
      <c r="B60" s="22" t="s">
        <v>271</v>
      </c>
      <c r="C60" s="115" t="s">
        <v>271</v>
      </c>
      <c r="D60" s="115"/>
      <c r="E60" s="115"/>
      <c r="F60" s="22" t="s">
        <v>271</v>
      </c>
      <c r="K60" s="119" t="s">
        <v>308</v>
      </c>
      <c r="L60" s="47" t="s">
        <v>308</v>
      </c>
      <c r="M60" s="47" t="s">
        <v>271</v>
      </c>
      <c r="N60" s="22" t="s">
        <v>271</v>
      </c>
      <c r="O60" s="16" t="s">
        <v>271</v>
      </c>
      <c r="P60" s="22" t="s">
        <v>271</v>
      </c>
      <c r="Q60" s="22" t="s">
        <v>271</v>
      </c>
    </row>
    <row r="61" spans="1:24" x14ac:dyDescent="0.25">
      <c r="B61" s="22">
        <v>2015</v>
      </c>
      <c r="C61" s="115">
        <v>2015</v>
      </c>
      <c r="D61" s="115"/>
      <c r="E61" s="115"/>
      <c r="F61" s="22">
        <v>2014</v>
      </c>
      <c r="K61" s="119">
        <v>2015</v>
      </c>
      <c r="L61" s="47">
        <v>2014</v>
      </c>
      <c r="M61" s="47">
        <v>2014</v>
      </c>
      <c r="N61" s="22">
        <v>2013</v>
      </c>
      <c r="O61" s="16">
        <v>2013</v>
      </c>
      <c r="P61" s="22">
        <v>2012</v>
      </c>
      <c r="Q61" s="22">
        <v>2012</v>
      </c>
    </row>
    <row r="62" spans="1:24" x14ac:dyDescent="0.25">
      <c r="L62" s="22"/>
      <c r="O62" s="4"/>
    </row>
    <row r="64" spans="1:24" x14ac:dyDescent="0.25">
      <c r="D64" s="48"/>
      <c r="E64" s="48"/>
      <c r="F64" s="48">
        <f>F58/M58</f>
        <v>1.4961323280292633</v>
      </c>
    </row>
    <row r="65" spans="2:7" x14ac:dyDescent="0.25">
      <c r="D65" s="115"/>
      <c r="E65" s="115"/>
      <c r="F65" s="22" t="s">
        <v>281</v>
      </c>
    </row>
    <row r="67" spans="2:7" x14ac:dyDescent="0.25">
      <c r="B67">
        <v>10.119999999999999</v>
      </c>
      <c r="F67">
        <v>11.23</v>
      </c>
    </row>
    <row r="68" spans="2:7" x14ac:dyDescent="0.25">
      <c r="B68">
        <v>10.199999999999999</v>
      </c>
      <c r="F68">
        <v>11.3</v>
      </c>
      <c r="G68" s="22" t="s">
        <v>330</v>
      </c>
    </row>
    <row r="82" spans="16:17" x14ac:dyDescent="0.25">
      <c r="P82" s="33"/>
      <c r="Q82" s="33"/>
    </row>
    <row r="83" spans="16:17" x14ac:dyDescent="0.25">
      <c r="P83" s="33"/>
      <c r="Q83" s="33"/>
    </row>
    <row r="84" spans="16:17" x14ac:dyDescent="0.25">
      <c r="P84" s="34"/>
      <c r="Q84" s="34"/>
    </row>
    <row r="85" spans="16:17" x14ac:dyDescent="0.25">
      <c r="P85" s="34"/>
      <c r="Q85" s="3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E21" sqref="E21"/>
    </sheetView>
  </sheetViews>
  <sheetFormatPr defaultRowHeight="15" x14ac:dyDescent="0.25"/>
  <cols>
    <col min="1" max="1" width="34.42578125" customWidth="1"/>
    <col min="2" max="2" width="11.42578125" customWidth="1"/>
    <col min="3" max="3" width="9.42578125" customWidth="1"/>
  </cols>
  <sheetData>
    <row r="1" spans="1:3" ht="18.75" x14ac:dyDescent="0.3">
      <c r="A1" s="73" t="s">
        <v>378</v>
      </c>
    </row>
    <row r="2" spans="1:3" ht="18.75" x14ac:dyDescent="0.3">
      <c r="A2" s="73" t="s">
        <v>379</v>
      </c>
    </row>
    <row r="5" spans="1:3" ht="15.75" x14ac:dyDescent="0.25">
      <c r="A5" s="83" t="s">
        <v>380</v>
      </c>
      <c r="C5" t="s">
        <v>393</v>
      </c>
    </row>
    <row r="6" spans="1:3" x14ac:dyDescent="0.25">
      <c r="A6" t="s">
        <v>373</v>
      </c>
      <c r="B6" s="29">
        <v>0.06</v>
      </c>
    </row>
    <row r="7" spans="1:3" x14ac:dyDescent="0.25">
      <c r="A7" t="s">
        <v>374</v>
      </c>
      <c r="B7" s="29">
        <v>0.01</v>
      </c>
    </row>
    <row r="8" spans="1:3" x14ac:dyDescent="0.25">
      <c r="A8" t="s">
        <v>190</v>
      </c>
      <c r="B8" s="29">
        <f>0.5/48.79</f>
        <v>1.0248001639680263E-2</v>
      </c>
      <c r="C8" t="s">
        <v>381</v>
      </c>
    </row>
    <row r="9" spans="1:3" x14ac:dyDescent="0.25">
      <c r="A9" t="s">
        <v>375</v>
      </c>
      <c r="B9" s="29">
        <f>0.005*0.629</f>
        <v>3.1450000000000002E-3</v>
      </c>
      <c r="C9" t="s">
        <v>382</v>
      </c>
    </row>
    <row r="10" spans="1:3" x14ac:dyDescent="0.25">
      <c r="A10" s="74" t="s">
        <v>377</v>
      </c>
      <c r="B10" s="75">
        <f>SUM(B6:B9)</f>
        <v>8.3393001639680248E-2</v>
      </c>
    </row>
    <row r="12" spans="1:3" ht="15.75" x14ac:dyDescent="0.25">
      <c r="A12" s="83" t="s">
        <v>391</v>
      </c>
    </row>
    <row r="13" spans="1:3" x14ac:dyDescent="0.25">
      <c r="A13" t="s">
        <v>383</v>
      </c>
      <c r="B13" s="29">
        <v>0.16</v>
      </c>
    </row>
    <row r="14" spans="1:3" x14ac:dyDescent="0.25">
      <c r="A14" t="s">
        <v>376</v>
      </c>
      <c r="B14" s="29">
        <v>0.01</v>
      </c>
    </row>
    <row r="15" spans="1:3" x14ac:dyDescent="0.25">
      <c r="A15" t="s">
        <v>190</v>
      </c>
      <c r="B15" s="29">
        <f>B8</f>
        <v>1.0248001639680263E-2</v>
      </c>
      <c r="C15" t="s">
        <v>381</v>
      </c>
    </row>
    <row r="16" spans="1:3" x14ac:dyDescent="0.25">
      <c r="A16" t="s">
        <v>375</v>
      </c>
      <c r="B16" s="29">
        <f>B9</f>
        <v>3.1450000000000002E-3</v>
      </c>
      <c r="C16" t="s">
        <v>382</v>
      </c>
    </row>
    <row r="17" spans="1:3" x14ac:dyDescent="0.25">
      <c r="A17" s="74" t="s">
        <v>384</v>
      </c>
      <c r="B17" s="75">
        <f>SUM(B13:B16)</f>
        <v>0.18339300163968028</v>
      </c>
    </row>
    <row r="18" spans="1:3" x14ac:dyDescent="0.25">
      <c r="B18" s="29"/>
    </row>
    <row r="19" spans="1:3" ht="15.75" x14ac:dyDescent="0.25">
      <c r="A19" s="84" t="s">
        <v>385</v>
      </c>
      <c r="B19" s="29"/>
    </row>
    <row r="20" spans="1:3" x14ac:dyDescent="0.25">
      <c r="B20" s="29"/>
    </row>
    <row r="21" spans="1:3" x14ac:dyDescent="0.25">
      <c r="B21" s="79" t="s">
        <v>387</v>
      </c>
      <c r="C21" s="79" t="s">
        <v>388</v>
      </c>
    </row>
    <row r="22" spans="1:3" x14ac:dyDescent="0.25">
      <c r="A22" t="s">
        <v>380</v>
      </c>
      <c r="B22" s="76" t="s">
        <v>348</v>
      </c>
      <c r="C22" s="76" t="s">
        <v>348</v>
      </c>
    </row>
    <row r="23" spans="1:3" x14ac:dyDescent="0.25">
      <c r="A23" t="s">
        <v>386</v>
      </c>
      <c r="B23" s="81">
        <f>48.79*B10</f>
        <v>4.068744549999999</v>
      </c>
      <c r="C23" s="80">
        <f>B23*12</f>
        <v>48.824934599999992</v>
      </c>
    </row>
    <row r="24" spans="1:3" x14ac:dyDescent="0.25">
      <c r="A24" t="s">
        <v>389</v>
      </c>
      <c r="B24" s="81">
        <f>120*(B6+B7+B9)+2</f>
        <v>10.777399999999998</v>
      </c>
      <c r="C24" s="80">
        <f>B24*12</f>
        <v>129.32879999999997</v>
      </c>
    </row>
    <row r="26" spans="1:3" x14ac:dyDescent="0.25">
      <c r="A26" t="s">
        <v>392</v>
      </c>
    </row>
    <row r="27" spans="1:3" x14ac:dyDescent="0.25">
      <c r="A27" t="s">
        <v>386</v>
      </c>
      <c r="B27" s="81">
        <f>48.79*B17</f>
        <v>8.9477445500000012</v>
      </c>
      <c r="C27" s="80">
        <f>B27*12</f>
        <v>107.37293460000001</v>
      </c>
    </row>
    <row r="28" spans="1:3" x14ac:dyDescent="0.25">
      <c r="A28" t="s">
        <v>389</v>
      </c>
      <c r="B28" s="81">
        <f>120*(B13+B14+B16)+2</f>
        <v>22.777400000000004</v>
      </c>
      <c r="C28" s="80">
        <f>B28*12</f>
        <v>273.32880000000006</v>
      </c>
    </row>
    <row r="30" spans="1:3" x14ac:dyDescent="0.25">
      <c r="A30" s="74" t="s">
        <v>390</v>
      </c>
      <c r="B30" s="74"/>
      <c r="C30" s="74"/>
    </row>
    <row r="31" spans="1:3" x14ac:dyDescent="0.25">
      <c r="A31" s="74" t="s">
        <v>386</v>
      </c>
      <c r="B31" s="82">
        <f>B27-B23</f>
        <v>4.8790000000000022</v>
      </c>
      <c r="C31" s="82">
        <f>C27-C23</f>
        <v>58.548000000000016</v>
      </c>
    </row>
    <row r="32" spans="1:3" x14ac:dyDescent="0.25">
      <c r="A32" s="74" t="s">
        <v>389</v>
      </c>
      <c r="B32" s="82">
        <f>B28-B24</f>
        <v>12.000000000000005</v>
      </c>
      <c r="C32" s="82">
        <f>C28-C24</f>
        <v>144.00000000000009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XFD1048576"/>
    </sheetView>
  </sheetViews>
  <sheetFormatPr defaultRowHeight="15" x14ac:dyDescent="0.25"/>
  <cols>
    <col min="1" max="1" width="40.42578125" customWidth="1"/>
    <col min="2" max="2" width="10.42578125" customWidth="1"/>
    <col min="3" max="3" width="11" customWidth="1"/>
  </cols>
  <sheetData>
    <row r="1" spans="1:3" ht="18.75" x14ac:dyDescent="0.3">
      <c r="A1" s="73" t="s">
        <v>399</v>
      </c>
    </row>
    <row r="2" spans="1:3" x14ac:dyDescent="0.25">
      <c r="A2" s="60" t="s">
        <v>395</v>
      </c>
      <c r="C2" s="88" t="s">
        <v>344</v>
      </c>
    </row>
    <row r="3" spans="1:3" x14ac:dyDescent="0.25">
      <c r="C3" s="88" t="s">
        <v>369</v>
      </c>
    </row>
    <row r="4" spans="1:3" x14ac:dyDescent="0.25">
      <c r="C4" s="63">
        <v>48.73</v>
      </c>
    </row>
    <row r="5" spans="1:3" x14ac:dyDescent="0.25">
      <c r="B5" s="88" t="s">
        <v>343</v>
      </c>
      <c r="C5" s="88" t="s">
        <v>342</v>
      </c>
    </row>
    <row r="6" spans="1:3" x14ac:dyDescent="0.25">
      <c r="A6" t="s">
        <v>346</v>
      </c>
      <c r="B6" s="93">
        <v>0.2782</v>
      </c>
      <c r="C6" s="72">
        <v>13.556685999999999</v>
      </c>
    </row>
    <row r="7" spans="1:3" x14ac:dyDescent="0.25">
      <c r="A7" s="74" t="s">
        <v>398</v>
      </c>
      <c r="B7" s="94">
        <v>0.26100000000000001</v>
      </c>
      <c r="C7" s="91">
        <v>12.718529999999999</v>
      </c>
    </row>
    <row r="8" spans="1:3" x14ac:dyDescent="0.25">
      <c r="A8" t="s">
        <v>332</v>
      </c>
      <c r="B8" s="93">
        <v>0.24429999999999999</v>
      </c>
      <c r="C8" s="72">
        <v>11.904738999999999</v>
      </c>
    </row>
    <row r="9" spans="1:3" x14ac:dyDescent="0.25">
      <c r="A9" t="s">
        <v>331</v>
      </c>
      <c r="B9" s="93">
        <v>0.2326</v>
      </c>
      <c r="C9" s="72">
        <v>11.334598</v>
      </c>
    </row>
    <row r="10" spans="1:3" x14ac:dyDescent="0.25">
      <c r="A10" t="s">
        <v>338</v>
      </c>
      <c r="B10" s="93">
        <v>0.2291</v>
      </c>
      <c r="C10" s="72">
        <v>11.164042999999999</v>
      </c>
    </row>
    <row r="11" spans="1:3" x14ac:dyDescent="0.25">
      <c r="A11" t="s">
        <v>333</v>
      </c>
      <c r="B11" s="93">
        <v>0.22800000000000001</v>
      </c>
      <c r="C11" s="72">
        <f>B11*C4</f>
        <v>11.110440000000001</v>
      </c>
    </row>
    <row r="12" spans="1:3" x14ac:dyDescent="0.25">
      <c r="A12" t="s">
        <v>337</v>
      </c>
      <c r="B12" s="93">
        <v>0.22289999999999999</v>
      </c>
      <c r="C12" s="72">
        <v>10.861916999999998</v>
      </c>
    </row>
    <row r="13" spans="1:3" x14ac:dyDescent="0.25">
      <c r="A13" s="74" t="s">
        <v>397</v>
      </c>
      <c r="B13" s="94">
        <v>0.22090000000000001</v>
      </c>
      <c r="C13" s="91">
        <v>10.764457</v>
      </c>
    </row>
    <row r="14" spans="1:3" x14ac:dyDescent="0.25">
      <c r="A14" t="s">
        <v>336</v>
      </c>
      <c r="B14" s="93">
        <v>0.2087</v>
      </c>
      <c r="C14" s="72">
        <v>10.169950999999999</v>
      </c>
    </row>
    <row r="15" spans="1:3" x14ac:dyDescent="0.25">
      <c r="A15" t="s">
        <v>339</v>
      </c>
      <c r="B15" s="93">
        <v>0.20400000000000001</v>
      </c>
      <c r="C15" s="72">
        <v>9.9409200000000002</v>
      </c>
    </row>
    <row r="16" spans="1:3" x14ac:dyDescent="0.25">
      <c r="B16" s="93"/>
      <c r="C16" s="72"/>
    </row>
    <row r="17" spans="2:3" x14ac:dyDescent="0.25">
      <c r="B17" s="93"/>
      <c r="C17" s="7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55" workbookViewId="0">
      <selection sqref="A1:XFD1048576"/>
    </sheetView>
  </sheetViews>
  <sheetFormatPr defaultRowHeight="15" x14ac:dyDescent="0.25"/>
  <cols>
    <col min="1" max="1" width="6" customWidth="1"/>
    <col min="2" max="2" width="32" customWidth="1"/>
    <col min="3" max="4" width="12" customWidth="1"/>
  </cols>
  <sheetData>
    <row r="1" spans="1:7" ht="18.75" x14ac:dyDescent="0.3">
      <c r="A1" s="73" t="s">
        <v>415</v>
      </c>
    </row>
    <row r="2" spans="1:7" x14ac:dyDescent="0.25">
      <c r="B2" t="s">
        <v>416</v>
      </c>
    </row>
    <row r="3" spans="1:7" x14ac:dyDescent="0.25">
      <c r="B3" t="s">
        <v>417</v>
      </c>
    </row>
    <row r="5" spans="1:7" x14ac:dyDescent="0.25">
      <c r="A5" s="60" t="s">
        <v>400</v>
      </c>
    </row>
    <row r="6" spans="1:7" x14ac:dyDescent="0.25">
      <c r="A6" s="3"/>
      <c r="B6" s="9" t="s">
        <v>75</v>
      </c>
      <c r="C6" s="96">
        <v>7.0000000000000007E-2</v>
      </c>
      <c r="D6" s="4"/>
      <c r="E6" s="4"/>
      <c r="F6" s="4"/>
      <c r="G6" s="4"/>
    </row>
    <row r="7" spans="1:7" x14ac:dyDescent="0.25">
      <c r="A7" s="3"/>
      <c r="B7" s="13" t="s">
        <v>401</v>
      </c>
      <c r="C7" s="96">
        <v>7.0000000000000007E-2</v>
      </c>
      <c r="D7" s="9"/>
      <c r="E7" s="4"/>
      <c r="F7" s="4"/>
      <c r="G7" s="4"/>
    </row>
    <row r="8" spans="1:7" x14ac:dyDescent="0.25">
      <c r="A8" s="3"/>
      <c r="B8" s="13" t="s">
        <v>402</v>
      </c>
      <c r="C8" s="96">
        <f>3.9/48.79</f>
        <v>7.993441278950604E-2</v>
      </c>
      <c r="D8" s="13" t="s">
        <v>408</v>
      </c>
      <c r="E8" s="4"/>
      <c r="F8" s="4"/>
      <c r="G8" s="4"/>
    </row>
    <row r="9" spans="1:7" x14ac:dyDescent="0.25">
      <c r="A9" s="3"/>
      <c r="B9" s="13" t="s">
        <v>403</v>
      </c>
      <c r="C9" s="96">
        <v>5.8200000000000002E-2</v>
      </c>
      <c r="D9" s="9"/>
      <c r="E9" s="4"/>
      <c r="F9" s="4"/>
      <c r="G9" s="4"/>
    </row>
    <row r="10" spans="1:7" x14ac:dyDescent="0.25">
      <c r="B10" s="3" t="s">
        <v>9</v>
      </c>
      <c r="C10" s="95">
        <f>SUM(C6:C9)</f>
        <v>0.27813441278950601</v>
      </c>
    </row>
    <row r="11" spans="1:7" x14ac:dyDescent="0.25">
      <c r="C11" s="93"/>
    </row>
    <row r="12" spans="1:7" x14ac:dyDescent="0.25">
      <c r="A12" s="97" t="s">
        <v>406</v>
      </c>
      <c r="B12" s="98"/>
      <c r="C12" s="99"/>
      <c r="D12" s="98"/>
      <c r="E12" s="98"/>
    </row>
    <row r="13" spans="1:7" x14ac:dyDescent="0.25">
      <c r="A13" s="98"/>
      <c r="B13" s="98" t="s">
        <v>24</v>
      </c>
      <c r="C13" s="100">
        <v>0.06</v>
      </c>
      <c r="D13" s="98"/>
      <c r="E13" s="98"/>
    </row>
    <row r="14" spans="1:7" x14ac:dyDescent="0.25">
      <c r="A14" s="98"/>
      <c r="B14" s="98" t="s">
        <v>404</v>
      </c>
      <c r="C14" s="100">
        <v>0.12</v>
      </c>
      <c r="D14" s="98"/>
      <c r="E14" s="98"/>
    </row>
    <row r="15" spans="1:7" x14ac:dyDescent="0.25">
      <c r="A15" s="98"/>
      <c r="B15" s="98" t="s">
        <v>405</v>
      </c>
      <c r="C15" s="100">
        <f>1/48.79</f>
        <v>2.0496003279360527E-2</v>
      </c>
      <c r="D15" s="98" t="s">
        <v>191</v>
      </c>
      <c r="E15" s="98"/>
    </row>
    <row r="16" spans="1:7" x14ac:dyDescent="0.25">
      <c r="A16" s="98"/>
      <c r="B16" s="101" t="s">
        <v>15</v>
      </c>
      <c r="C16" s="100">
        <f>0.11/48.79</f>
        <v>2.2545603607296576E-3</v>
      </c>
      <c r="D16" s="98" t="s">
        <v>170</v>
      </c>
      <c r="E16" s="98"/>
    </row>
    <row r="17" spans="1:5" x14ac:dyDescent="0.25">
      <c r="A17" s="98"/>
      <c r="B17" s="98" t="s">
        <v>403</v>
      </c>
      <c r="C17" s="102">
        <v>5.8200000000000002E-2</v>
      </c>
      <c r="D17" s="98"/>
      <c r="E17" s="98"/>
    </row>
    <row r="18" spans="1:5" x14ac:dyDescent="0.25">
      <c r="A18" s="98"/>
      <c r="B18" s="103" t="s">
        <v>9</v>
      </c>
      <c r="C18" s="104">
        <f>SUM(C13:C17)</f>
        <v>0.26095056364009017</v>
      </c>
      <c r="D18" s="98"/>
      <c r="E18" s="98"/>
    </row>
    <row r="19" spans="1:5" x14ac:dyDescent="0.25">
      <c r="B19" s="3"/>
      <c r="C19" s="95"/>
    </row>
    <row r="20" spans="1:5" x14ac:dyDescent="0.25">
      <c r="A20" t="s">
        <v>332</v>
      </c>
    </row>
    <row r="21" spans="1:5" x14ac:dyDescent="0.25">
      <c r="B21" s="4" t="s">
        <v>24</v>
      </c>
      <c r="C21" s="96">
        <v>5.5E-2</v>
      </c>
      <c r="D21" s="4"/>
    </row>
    <row r="22" spans="1:5" x14ac:dyDescent="0.25">
      <c r="B22" s="4" t="s">
        <v>407</v>
      </c>
      <c r="C22" s="96">
        <v>1.4999999999999999E-2</v>
      </c>
      <c r="D22" s="4"/>
    </row>
    <row r="23" spans="1:5" x14ac:dyDescent="0.25">
      <c r="B23" s="4" t="s">
        <v>140</v>
      </c>
      <c r="C23" s="96">
        <v>6.25E-2</v>
      </c>
      <c r="D23" s="15"/>
    </row>
    <row r="24" spans="1:5" x14ac:dyDescent="0.25">
      <c r="B24" s="4" t="s">
        <v>81</v>
      </c>
      <c r="C24" s="96">
        <v>4.3700000000000003E-2</v>
      </c>
      <c r="D24" s="4"/>
    </row>
    <row r="25" spans="1:5" x14ac:dyDescent="0.25">
      <c r="B25" s="9" t="s">
        <v>28</v>
      </c>
      <c r="C25" s="96">
        <f>0.45/48.79</f>
        <v>9.2232014757122373E-3</v>
      </c>
      <c r="D25" s="13" t="s">
        <v>107</v>
      </c>
    </row>
    <row r="26" spans="1:5" x14ac:dyDescent="0.25">
      <c r="B26" s="4" t="s">
        <v>142</v>
      </c>
      <c r="C26" s="96">
        <f>0.03/48.79</f>
        <v>6.148800983808157E-4</v>
      </c>
      <c r="D26" s="13" t="s">
        <v>301</v>
      </c>
    </row>
    <row r="27" spans="1:5" x14ac:dyDescent="0.25">
      <c r="B27" s="4" t="s">
        <v>403</v>
      </c>
      <c r="C27" s="96">
        <v>5.8200000000000002E-2</v>
      </c>
    </row>
    <row r="28" spans="1:5" x14ac:dyDescent="0.25">
      <c r="B28" s="3" t="s">
        <v>9</v>
      </c>
      <c r="C28" s="95">
        <f>SUM(C21:C27)</f>
        <v>0.24423808157409307</v>
      </c>
    </row>
    <row r="29" spans="1:5" x14ac:dyDescent="0.25">
      <c r="B29" s="3"/>
      <c r="C29" s="95"/>
    </row>
    <row r="30" spans="1:5" x14ac:dyDescent="0.25">
      <c r="A30" t="s">
        <v>338</v>
      </c>
    </row>
    <row r="31" spans="1:5" x14ac:dyDescent="0.25">
      <c r="B31" s="4" t="s">
        <v>59</v>
      </c>
      <c r="C31" s="96">
        <v>9.1700000000000004E-2</v>
      </c>
      <c r="D31" s="4"/>
    </row>
    <row r="32" spans="1:5" x14ac:dyDescent="0.25">
      <c r="B32" s="9" t="s">
        <v>60</v>
      </c>
      <c r="C32" s="96">
        <v>6.9000000000000006E-2</v>
      </c>
      <c r="D32" s="9"/>
    </row>
    <row r="33" spans="1:4" x14ac:dyDescent="0.25">
      <c r="B33" s="11">
        <v>911</v>
      </c>
      <c r="C33" s="96">
        <f>0.5/48.79</f>
        <v>1.0248001639680263E-2</v>
      </c>
      <c r="D33" s="4" t="s">
        <v>62</v>
      </c>
    </row>
    <row r="34" spans="1:4" x14ac:dyDescent="0.25">
      <c r="B34" s="4" t="s">
        <v>403</v>
      </c>
      <c r="C34" s="96">
        <v>5.8200000000000002E-2</v>
      </c>
    </row>
    <row r="35" spans="1:4" x14ac:dyDescent="0.25">
      <c r="B35" s="3" t="s">
        <v>9</v>
      </c>
      <c r="C35" s="95">
        <f>SUM(C31:C34)</f>
        <v>0.22914800163968027</v>
      </c>
    </row>
    <row r="36" spans="1:4" x14ac:dyDescent="0.25">
      <c r="B36" s="3"/>
      <c r="C36" s="95"/>
    </row>
    <row r="37" spans="1:4" x14ac:dyDescent="0.25">
      <c r="A37" t="s">
        <v>333</v>
      </c>
    </row>
    <row r="38" spans="1:4" x14ac:dyDescent="0.25">
      <c r="B38" s="4" t="s">
        <v>24</v>
      </c>
      <c r="C38" s="96">
        <v>0.04</v>
      </c>
      <c r="D38" s="4"/>
    </row>
    <row r="39" spans="1:4" x14ac:dyDescent="0.25">
      <c r="B39" s="4" t="s">
        <v>25</v>
      </c>
      <c r="C39" s="96">
        <v>4.4999999999999998E-2</v>
      </c>
      <c r="D39" s="13"/>
    </row>
    <row r="40" spans="1:4" x14ac:dyDescent="0.25">
      <c r="B40" s="4" t="s">
        <v>158</v>
      </c>
      <c r="C40" s="96">
        <v>3.7499999999999999E-3</v>
      </c>
      <c r="D40" s="13"/>
    </row>
    <row r="41" spans="1:4" x14ac:dyDescent="0.25">
      <c r="B41" s="4" t="s">
        <v>159</v>
      </c>
      <c r="C41" s="96">
        <v>2.5000000000000001E-2</v>
      </c>
      <c r="D41" s="4"/>
    </row>
    <row r="42" spans="1:4" x14ac:dyDescent="0.25">
      <c r="B42" s="4" t="s">
        <v>161</v>
      </c>
      <c r="C42" s="96">
        <v>6.0000000000000001E-3</v>
      </c>
      <c r="D42" s="4" t="s">
        <v>409</v>
      </c>
    </row>
    <row r="43" spans="1:4" x14ac:dyDescent="0.25">
      <c r="B43" s="4" t="s">
        <v>162</v>
      </c>
      <c r="C43" s="96">
        <f>2.35%*0.84</f>
        <v>1.9740000000000001E-2</v>
      </c>
      <c r="D43" s="13"/>
    </row>
    <row r="44" spans="1:4" x14ac:dyDescent="0.25">
      <c r="B44" s="4" t="s">
        <v>119</v>
      </c>
      <c r="C44" s="96">
        <f>1.2/48.79</f>
        <v>2.459520393523263E-2</v>
      </c>
      <c r="D44" s="4" t="s">
        <v>164</v>
      </c>
    </row>
    <row r="45" spans="1:4" x14ac:dyDescent="0.25">
      <c r="B45" s="4" t="s">
        <v>165</v>
      </c>
      <c r="C45" s="96">
        <f>0.3/48.79</f>
        <v>6.1488009838081576E-3</v>
      </c>
      <c r="D45" s="4" t="s">
        <v>410</v>
      </c>
    </row>
    <row r="46" spans="1:4" x14ac:dyDescent="0.25">
      <c r="B46" s="4" t="s">
        <v>403</v>
      </c>
      <c r="C46" s="96">
        <v>5.8200000000000002E-2</v>
      </c>
      <c r="D46" s="4"/>
    </row>
    <row r="47" spans="1:4" x14ac:dyDescent="0.25">
      <c r="B47" s="3" t="s">
        <v>9</v>
      </c>
      <c r="C47" s="95">
        <f>SUM(C38:C46)</f>
        <v>0.22843400491904078</v>
      </c>
      <c r="D47" s="4"/>
    </row>
    <row r="48" spans="1:4" x14ac:dyDescent="0.25">
      <c r="B48" s="3"/>
      <c r="C48" s="95"/>
      <c r="D48" s="4"/>
    </row>
    <row r="49" spans="1:5" x14ac:dyDescent="0.25">
      <c r="A49" t="s">
        <v>337</v>
      </c>
      <c r="B49" s="9"/>
      <c r="C49" s="8"/>
      <c r="D49" s="9"/>
    </row>
    <row r="50" spans="1:5" x14ac:dyDescent="0.25">
      <c r="B50" s="4" t="s">
        <v>24</v>
      </c>
      <c r="C50" s="96">
        <v>0.06</v>
      </c>
      <c r="D50" s="4" t="s">
        <v>111</v>
      </c>
    </row>
    <row r="51" spans="1:5" x14ac:dyDescent="0.25">
      <c r="B51" s="4" t="s">
        <v>112</v>
      </c>
      <c r="C51" s="96">
        <f>4/48.79</f>
        <v>8.1984013117442106E-2</v>
      </c>
      <c r="D51" s="13" t="s">
        <v>411</v>
      </c>
    </row>
    <row r="52" spans="1:5" x14ac:dyDescent="0.25">
      <c r="B52" s="4" t="s">
        <v>405</v>
      </c>
      <c r="C52" s="96">
        <f>1/48.79</f>
        <v>2.0496003279360527E-2</v>
      </c>
      <c r="D52" s="4" t="s">
        <v>248</v>
      </c>
    </row>
    <row r="53" spans="1:5" x14ac:dyDescent="0.25">
      <c r="B53" s="9" t="s">
        <v>15</v>
      </c>
      <c r="C53" s="96">
        <f>0.11/48.79</f>
        <v>2.2545603607296576E-3</v>
      </c>
      <c r="D53" s="13" t="s">
        <v>297</v>
      </c>
    </row>
    <row r="54" spans="1:5" x14ac:dyDescent="0.25">
      <c r="B54" s="4" t="s">
        <v>403</v>
      </c>
      <c r="C54" s="96">
        <v>5.8200000000000002E-2</v>
      </c>
    </row>
    <row r="55" spans="1:5" x14ac:dyDescent="0.25">
      <c r="B55" s="3" t="s">
        <v>9</v>
      </c>
      <c r="C55" s="95">
        <f>SUM(C50:C54)</f>
        <v>0.22293457675753228</v>
      </c>
    </row>
    <row r="57" spans="1:5" x14ac:dyDescent="0.25">
      <c r="A57" s="97" t="s">
        <v>412</v>
      </c>
      <c r="B57" s="98"/>
      <c r="C57" s="99"/>
      <c r="D57" s="98"/>
      <c r="E57" s="98"/>
    </row>
    <row r="58" spans="1:5" x14ac:dyDescent="0.25">
      <c r="A58" s="98"/>
      <c r="B58" s="98" t="s">
        <v>24</v>
      </c>
      <c r="C58" s="100">
        <v>0.06</v>
      </c>
      <c r="D58" s="98"/>
      <c r="E58" s="98"/>
    </row>
    <row r="59" spans="1:5" x14ac:dyDescent="0.25">
      <c r="A59" s="98"/>
      <c r="B59" s="98" t="s">
        <v>404</v>
      </c>
      <c r="C59" s="100">
        <v>0.08</v>
      </c>
      <c r="D59" s="98"/>
      <c r="E59" s="98"/>
    </row>
    <row r="60" spans="1:5" x14ac:dyDescent="0.25">
      <c r="A60" s="98"/>
      <c r="B60" s="98" t="s">
        <v>405</v>
      </c>
      <c r="C60" s="100">
        <f>1/48.79</f>
        <v>2.0496003279360527E-2</v>
      </c>
      <c r="D60" s="98" t="s">
        <v>191</v>
      </c>
      <c r="E60" s="98"/>
    </row>
    <row r="61" spans="1:5" x14ac:dyDescent="0.25">
      <c r="A61" s="98"/>
      <c r="B61" s="101" t="s">
        <v>15</v>
      </c>
      <c r="C61" s="100">
        <f>0.11/48.79</f>
        <v>2.2545603607296576E-3</v>
      </c>
      <c r="D61" s="98" t="s">
        <v>170</v>
      </c>
      <c r="E61" s="98"/>
    </row>
    <row r="62" spans="1:5" x14ac:dyDescent="0.25">
      <c r="A62" s="98"/>
      <c r="B62" s="98" t="s">
        <v>403</v>
      </c>
      <c r="C62" s="102">
        <v>5.8200000000000002E-2</v>
      </c>
      <c r="D62" s="98"/>
      <c r="E62" s="98"/>
    </row>
    <row r="63" spans="1:5" x14ac:dyDescent="0.25">
      <c r="A63" s="98"/>
      <c r="B63" s="103" t="s">
        <v>9</v>
      </c>
      <c r="C63" s="104">
        <f>SUM(C58:C62)</f>
        <v>0.22095056364009019</v>
      </c>
      <c r="D63" s="98"/>
      <c r="E63" s="98"/>
    </row>
    <row r="65" spans="1:4" x14ac:dyDescent="0.25">
      <c r="A65" t="s">
        <v>336</v>
      </c>
    </row>
    <row r="66" spans="1:4" x14ac:dyDescent="0.25">
      <c r="B66" s="4" t="s">
        <v>24</v>
      </c>
      <c r="C66" s="96">
        <v>0.06</v>
      </c>
      <c r="D66" s="4" t="s">
        <v>7</v>
      </c>
    </row>
    <row r="67" spans="1:4" x14ac:dyDescent="0.25">
      <c r="B67" s="4" t="s">
        <v>172</v>
      </c>
      <c r="C67" s="96">
        <v>0.05</v>
      </c>
      <c r="D67" s="4" t="s">
        <v>7</v>
      </c>
    </row>
    <row r="68" spans="1:4" x14ac:dyDescent="0.25">
      <c r="B68" s="4" t="s">
        <v>65</v>
      </c>
      <c r="C68" s="96">
        <v>0.02</v>
      </c>
      <c r="D68" s="9" t="s">
        <v>186</v>
      </c>
    </row>
    <row r="69" spans="1:4" x14ac:dyDescent="0.25">
      <c r="B69" s="4" t="s">
        <v>73</v>
      </c>
      <c r="C69" s="96">
        <f>1/48.79</f>
        <v>2.0496003279360527E-2</v>
      </c>
      <c r="D69" s="9" t="s">
        <v>187</v>
      </c>
    </row>
    <row r="70" spans="1:4" x14ac:dyDescent="0.25">
      <c r="B70" s="4" t="s">
        <v>403</v>
      </c>
      <c r="C70" s="96">
        <v>5.8200000000000002E-2</v>
      </c>
    </row>
    <row r="71" spans="1:4" x14ac:dyDescent="0.25">
      <c r="B71" s="3" t="s">
        <v>9</v>
      </c>
      <c r="C71" s="95">
        <f>SUM(C66:C70)</f>
        <v>0.20869600327936053</v>
      </c>
    </row>
    <row r="73" spans="1:4" x14ac:dyDescent="0.25">
      <c r="A73" t="s">
        <v>339</v>
      </c>
    </row>
    <row r="74" spans="1:4" x14ac:dyDescent="0.25">
      <c r="B74" s="4" t="s">
        <v>24</v>
      </c>
      <c r="C74" s="96">
        <v>7.0000000000000007E-2</v>
      </c>
      <c r="D74" s="4" t="s">
        <v>7</v>
      </c>
    </row>
    <row r="75" spans="1:4" x14ac:dyDescent="0.25">
      <c r="B75" s="4" t="s">
        <v>189</v>
      </c>
      <c r="C75" s="96">
        <v>0.05</v>
      </c>
      <c r="D75" s="4" t="s">
        <v>7</v>
      </c>
    </row>
    <row r="76" spans="1:4" x14ac:dyDescent="0.25">
      <c r="B76" s="4" t="s">
        <v>190</v>
      </c>
      <c r="C76" s="96">
        <f>1.26/48.79</f>
        <v>2.5824964131994262E-2</v>
      </c>
      <c r="D76" s="4" t="s">
        <v>413</v>
      </c>
    </row>
    <row r="77" spans="1:4" x14ac:dyDescent="0.25">
      <c r="B77" s="4" t="s">
        <v>414</v>
      </c>
      <c r="C77" s="96">
        <v>5.8200000000000002E-2</v>
      </c>
      <c r="D77" s="4"/>
    </row>
    <row r="78" spans="1:4" x14ac:dyDescent="0.25">
      <c r="B78" s="3" t="s">
        <v>9</v>
      </c>
      <c r="C78" s="95">
        <f>SUM(C74:C77)</f>
        <v>0.20402496413199428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R30" sqref="R30"/>
    </sheetView>
  </sheetViews>
  <sheetFormatPr defaultRowHeight="15" x14ac:dyDescent="0.25"/>
  <sheetData>
    <row r="1" spans="1:4" x14ac:dyDescent="0.25">
      <c r="A1" t="s">
        <v>478</v>
      </c>
      <c r="D1" t="s">
        <v>479</v>
      </c>
    </row>
    <row r="2" spans="1:4" x14ac:dyDescent="0.25">
      <c r="A2" t="s">
        <v>482</v>
      </c>
      <c r="D2" t="s">
        <v>480</v>
      </c>
    </row>
    <row r="3" spans="1:4" x14ac:dyDescent="0.25">
      <c r="A3" t="s">
        <v>483</v>
      </c>
      <c r="D3" t="s">
        <v>481</v>
      </c>
    </row>
    <row r="4" spans="1:4" x14ac:dyDescent="0.25">
      <c r="A4" t="s">
        <v>484</v>
      </c>
      <c r="D4" t="s">
        <v>489</v>
      </c>
    </row>
    <row r="5" spans="1:4" x14ac:dyDescent="0.25">
      <c r="A5" t="s">
        <v>485</v>
      </c>
    </row>
    <row r="6" spans="1:4" x14ac:dyDescent="0.25">
      <c r="A6" t="s">
        <v>486</v>
      </c>
    </row>
    <row r="7" spans="1:4" x14ac:dyDescent="0.25">
      <c r="A7" t="s">
        <v>487</v>
      </c>
    </row>
    <row r="8" spans="1:4" x14ac:dyDescent="0.25">
      <c r="A8" t="s">
        <v>488</v>
      </c>
    </row>
    <row r="10" spans="1:4" x14ac:dyDescent="0.25">
      <c r="A10" t="s">
        <v>490</v>
      </c>
      <c r="D10" t="s">
        <v>497</v>
      </c>
    </row>
    <row r="11" spans="1:4" x14ac:dyDescent="0.25">
      <c r="A11" t="s">
        <v>491</v>
      </c>
      <c r="D11" t="s">
        <v>498</v>
      </c>
    </row>
    <row r="12" spans="1:4" x14ac:dyDescent="0.25">
      <c r="A12" t="s">
        <v>492</v>
      </c>
    </row>
    <row r="13" spans="1:4" x14ac:dyDescent="0.25">
      <c r="A13" t="s">
        <v>493</v>
      </c>
    </row>
    <row r="14" spans="1:4" x14ac:dyDescent="0.25">
      <c r="A14" t="s">
        <v>484</v>
      </c>
    </row>
    <row r="15" spans="1:4" x14ac:dyDescent="0.25">
      <c r="A15" t="s">
        <v>494</v>
      </c>
    </row>
    <row r="16" spans="1:4" x14ac:dyDescent="0.25">
      <c r="A16" t="s">
        <v>486</v>
      </c>
    </row>
    <row r="17" spans="1:4" x14ac:dyDescent="0.25">
      <c r="A17" t="s">
        <v>495</v>
      </c>
    </row>
    <row r="18" spans="1:4" x14ac:dyDescent="0.25">
      <c r="A18" t="s">
        <v>496</v>
      </c>
    </row>
    <row r="20" spans="1:4" x14ac:dyDescent="0.25">
      <c r="A20" t="s">
        <v>499</v>
      </c>
      <c r="D20" t="s">
        <v>500</v>
      </c>
    </row>
    <row r="21" spans="1:4" x14ac:dyDescent="0.25">
      <c r="A21" t="s">
        <v>494</v>
      </c>
      <c r="D21" t="s">
        <v>481</v>
      </c>
    </row>
    <row r="24" spans="1:4" x14ac:dyDescent="0.25">
      <c r="A24" t="s">
        <v>501</v>
      </c>
      <c r="D24" t="s">
        <v>502</v>
      </c>
    </row>
    <row r="25" spans="1:4" x14ac:dyDescent="0.25">
      <c r="A25" t="s">
        <v>506</v>
      </c>
      <c r="D25" t="s">
        <v>505</v>
      </c>
    </row>
    <row r="26" spans="1:4" x14ac:dyDescent="0.25">
      <c r="A26" t="s">
        <v>503</v>
      </c>
    </row>
    <row r="27" spans="1:4" x14ac:dyDescent="0.25">
      <c r="A27" t="s">
        <v>487</v>
      </c>
    </row>
    <row r="28" spans="1:4" x14ac:dyDescent="0.25">
      <c r="A28" t="s">
        <v>504</v>
      </c>
    </row>
  </sheetData>
  <printOptions gridLines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8"/>
  <sheetViews>
    <sheetView topLeftCell="A10" workbookViewId="0">
      <selection activeCell="L9" sqref="L9"/>
    </sheetView>
  </sheetViews>
  <sheetFormatPr defaultRowHeight="15" x14ac:dyDescent="0.25"/>
  <cols>
    <col min="1" max="1" width="50.140625" customWidth="1"/>
    <col min="2" max="3" width="10.140625" customWidth="1"/>
    <col min="4" max="4" width="9.85546875" customWidth="1"/>
    <col min="5" max="11" width="10.140625" bestFit="1" customWidth="1"/>
    <col min="12" max="12" width="10" customWidth="1"/>
    <col min="257" max="257" width="54.7109375" customWidth="1"/>
    <col min="258" max="258" width="13.42578125" customWidth="1"/>
    <col min="259" max="259" width="10.28515625" bestFit="1" customWidth="1"/>
    <col min="260" max="262" width="10.140625" bestFit="1" customWidth="1"/>
    <col min="263" max="263" width="11.140625" customWidth="1"/>
    <col min="264" max="264" width="10.140625" bestFit="1" customWidth="1"/>
    <col min="265" max="265" width="10.42578125" customWidth="1"/>
    <col min="266" max="266" width="10.5703125" customWidth="1"/>
    <col min="267" max="267" width="10.28515625" customWidth="1"/>
    <col min="513" max="513" width="54.7109375" customWidth="1"/>
    <col min="514" max="514" width="13.42578125" customWidth="1"/>
    <col min="515" max="515" width="10.28515625" bestFit="1" customWidth="1"/>
    <col min="516" max="518" width="10.140625" bestFit="1" customWidth="1"/>
    <col min="519" max="519" width="11.140625" customWidth="1"/>
    <col min="520" max="520" width="10.140625" bestFit="1" customWidth="1"/>
    <col min="521" max="521" width="10.42578125" customWidth="1"/>
    <col min="522" max="522" width="10.5703125" customWidth="1"/>
    <col min="523" max="523" width="10.28515625" customWidth="1"/>
    <col min="769" max="769" width="54.7109375" customWidth="1"/>
    <col min="770" max="770" width="13.42578125" customWidth="1"/>
    <col min="771" max="771" width="10.28515625" bestFit="1" customWidth="1"/>
    <col min="772" max="774" width="10.140625" bestFit="1" customWidth="1"/>
    <col min="775" max="775" width="11.140625" customWidth="1"/>
    <col min="776" max="776" width="10.140625" bestFit="1" customWidth="1"/>
    <col min="777" max="777" width="10.42578125" customWidth="1"/>
    <col min="778" max="778" width="10.5703125" customWidth="1"/>
    <col min="779" max="779" width="10.28515625" customWidth="1"/>
    <col min="1025" max="1025" width="54.7109375" customWidth="1"/>
    <col min="1026" max="1026" width="13.42578125" customWidth="1"/>
    <col min="1027" max="1027" width="10.28515625" bestFit="1" customWidth="1"/>
    <col min="1028" max="1030" width="10.140625" bestFit="1" customWidth="1"/>
    <col min="1031" max="1031" width="11.140625" customWidth="1"/>
    <col min="1032" max="1032" width="10.140625" bestFit="1" customWidth="1"/>
    <col min="1033" max="1033" width="10.42578125" customWidth="1"/>
    <col min="1034" max="1034" width="10.5703125" customWidth="1"/>
    <col min="1035" max="1035" width="10.28515625" customWidth="1"/>
    <col min="1281" max="1281" width="54.7109375" customWidth="1"/>
    <col min="1282" max="1282" width="13.42578125" customWidth="1"/>
    <col min="1283" max="1283" width="10.28515625" bestFit="1" customWidth="1"/>
    <col min="1284" max="1286" width="10.140625" bestFit="1" customWidth="1"/>
    <col min="1287" max="1287" width="11.140625" customWidth="1"/>
    <col min="1288" max="1288" width="10.140625" bestFit="1" customWidth="1"/>
    <col min="1289" max="1289" width="10.42578125" customWidth="1"/>
    <col min="1290" max="1290" width="10.5703125" customWidth="1"/>
    <col min="1291" max="1291" width="10.28515625" customWidth="1"/>
    <col min="1537" max="1537" width="54.7109375" customWidth="1"/>
    <col min="1538" max="1538" width="13.42578125" customWidth="1"/>
    <col min="1539" max="1539" width="10.28515625" bestFit="1" customWidth="1"/>
    <col min="1540" max="1542" width="10.140625" bestFit="1" customWidth="1"/>
    <col min="1543" max="1543" width="11.140625" customWidth="1"/>
    <col min="1544" max="1544" width="10.140625" bestFit="1" customWidth="1"/>
    <col min="1545" max="1545" width="10.42578125" customWidth="1"/>
    <col min="1546" max="1546" width="10.5703125" customWidth="1"/>
    <col min="1547" max="1547" width="10.28515625" customWidth="1"/>
    <col min="1793" max="1793" width="54.7109375" customWidth="1"/>
    <col min="1794" max="1794" width="13.42578125" customWidth="1"/>
    <col min="1795" max="1795" width="10.28515625" bestFit="1" customWidth="1"/>
    <col min="1796" max="1798" width="10.140625" bestFit="1" customWidth="1"/>
    <col min="1799" max="1799" width="11.140625" customWidth="1"/>
    <col min="1800" max="1800" width="10.140625" bestFit="1" customWidth="1"/>
    <col min="1801" max="1801" width="10.42578125" customWidth="1"/>
    <col min="1802" max="1802" width="10.5703125" customWidth="1"/>
    <col min="1803" max="1803" width="10.28515625" customWidth="1"/>
    <col min="2049" max="2049" width="54.7109375" customWidth="1"/>
    <col min="2050" max="2050" width="13.42578125" customWidth="1"/>
    <col min="2051" max="2051" width="10.28515625" bestFit="1" customWidth="1"/>
    <col min="2052" max="2054" width="10.140625" bestFit="1" customWidth="1"/>
    <col min="2055" max="2055" width="11.140625" customWidth="1"/>
    <col min="2056" max="2056" width="10.140625" bestFit="1" customWidth="1"/>
    <col min="2057" max="2057" width="10.42578125" customWidth="1"/>
    <col min="2058" max="2058" width="10.5703125" customWidth="1"/>
    <col min="2059" max="2059" width="10.28515625" customWidth="1"/>
    <col min="2305" max="2305" width="54.7109375" customWidth="1"/>
    <col min="2306" max="2306" width="13.42578125" customWidth="1"/>
    <col min="2307" max="2307" width="10.28515625" bestFit="1" customWidth="1"/>
    <col min="2308" max="2310" width="10.140625" bestFit="1" customWidth="1"/>
    <col min="2311" max="2311" width="11.140625" customWidth="1"/>
    <col min="2312" max="2312" width="10.140625" bestFit="1" customWidth="1"/>
    <col min="2313" max="2313" width="10.42578125" customWidth="1"/>
    <col min="2314" max="2314" width="10.5703125" customWidth="1"/>
    <col min="2315" max="2315" width="10.28515625" customWidth="1"/>
    <col min="2561" max="2561" width="54.7109375" customWidth="1"/>
    <col min="2562" max="2562" width="13.42578125" customWidth="1"/>
    <col min="2563" max="2563" width="10.28515625" bestFit="1" customWidth="1"/>
    <col min="2564" max="2566" width="10.140625" bestFit="1" customWidth="1"/>
    <col min="2567" max="2567" width="11.140625" customWidth="1"/>
    <col min="2568" max="2568" width="10.140625" bestFit="1" customWidth="1"/>
    <col min="2569" max="2569" width="10.42578125" customWidth="1"/>
    <col min="2570" max="2570" width="10.5703125" customWidth="1"/>
    <col min="2571" max="2571" width="10.28515625" customWidth="1"/>
    <col min="2817" max="2817" width="54.7109375" customWidth="1"/>
    <col min="2818" max="2818" width="13.42578125" customWidth="1"/>
    <col min="2819" max="2819" width="10.28515625" bestFit="1" customWidth="1"/>
    <col min="2820" max="2822" width="10.140625" bestFit="1" customWidth="1"/>
    <col min="2823" max="2823" width="11.140625" customWidth="1"/>
    <col min="2824" max="2824" width="10.140625" bestFit="1" customWidth="1"/>
    <col min="2825" max="2825" width="10.42578125" customWidth="1"/>
    <col min="2826" max="2826" width="10.5703125" customWidth="1"/>
    <col min="2827" max="2827" width="10.28515625" customWidth="1"/>
    <col min="3073" max="3073" width="54.7109375" customWidth="1"/>
    <col min="3074" max="3074" width="13.42578125" customWidth="1"/>
    <col min="3075" max="3075" width="10.28515625" bestFit="1" customWidth="1"/>
    <col min="3076" max="3078" width="10.140625" bestFit="1" customWidth="1"/>
    <col min="3079" max="3079" width="11.140625" customWidth="1"/>
    <col min="3080" max="3080" width="10.140625" bestFit="1" customWidth="1"/>
    <col min="3081" max="3081" width="10.42578125" customWidth="1"/>
    <col min="3082" max="3082" width="10.5703125" customWidth="1"/>
    <col min="3083" max="3083" width="10.28515625" customWidth="1"/>
    <col min="3329" max="3329" width="54.7109375" customWidth="1"/>
    <col min="3330" max="3330" width="13.42578125" customWidth="1"/>
    <col min="3331" max="3331" width="10.28515625" bestFit="1" customWidth="1"/>
    <col min="3332" max="3334" width="10.140625" bestFit="1" customWidth="1"/>
    <col min="3335" max="3335" width="11.140625" customWidth="1"/>
    <col min="3336" max="3336" width="10.140625" bestFit="1" customWidth="1"/>
    <col min="3337" max="3337" width="10.42578125" customWidth="1"/>
    <col min="3338" max="3338" width="10.5703125" customWidth="1"/>
    <col min="3339" max="3339" width="10.28515625" customWidth="1"/>
    <col min="3585" max="3585" width="54.7109375" customWidth="1"/>
    <col min="3586" max="3586" width="13.42578125" customWidth="1"/>
    <col min="3587" max="3587" width="10.28515625" bestFit="1" customWidth="1"/>
    <col min="3588" max="3590" width="10.140625" bestFit="1" customWidth="1"/>
    <col min="3591" max="3591" width="11.140625" customWidth="1"/>
    <col min="3592" max="3592" width="10.140625" bestFit="1" customWidth="1"/>
    <col min="3593" max="3593" width="10.42578125" customWidth="1"/>
    <col min="3594" max="3594" width="10.5703125" customWidth="1"/>
    <col min="3595" max="3595" width="10.28515625" customWidth="1"/>
    <col min="3841" max="3841" width="54.7109375" customWidth="1"/>
    <col min="3842" max="3842" width="13.42578125" customWidth="1"/>
    <col min="3843" max="3843" width="10.28515625" bestFit="1" customWidth="1"/>
    <col min="3844" max="3846" width="10.140625" bestFit="1" customWidth="1"/>
    <col min="3847" max="3847" width="11.140625" customWidth="1"/>
    <col min="3848" max="3848" width="10.140625" bestFit="1" customWidth="1"/>
    <col min="3849" max="3849" width="10.42578125" customWidth="1"/>
    <col min="3850" max="3850" width="10.5703125" customWidth="1"/>
    <col min="3851" max="3851" width="10.28515625" customWidth="1"/>
    <col min="4097" max="4097" width="54.7109375" customWidth="1"/>
    <col min="4098" max="4098" width="13.42578125" customWidth="1"/>
    <col min="4099" max="4099" width="10.28515625" bestFit="1" customWidth="1"/>
    <col min="4100" max="4102" width="10.140625" bestFit="1" customWidth="1"/>
    <col min="4103" max="4103" width="11.140625" customWidth="1"/>
    <col min="4104" max="4104" width="10.140625" bestFit="1" customWidth="1"/>
    <col min="4105" max="4105" width="10.42578125" customWidth="1"/>
    <col min="4106" max="4106" width="10.5703125" customWidth="1"/>
    <col min="4107" max="4107" width="10.28515625" customWidth="1"/>
    <col min="4353" max="4353" width="54.7109375" customWidth="1"/>
    <col min="4354" max="4354" width="13.42578125" customWidth="1"/>
    <col min="4355" max="4355" width="10.28515625" bestFit="1" customWidth="1"/>
    <col min="4356" max="4358" width="10.140625" bestFit="1" customWidth="1"/>
    <col min="4359" max="4359" width="11.140625" customWidth="1"/>
    <col min="4360" max="4360" width="10.140625" bestFit="1" customWidth="1"/>
    <col min="4361" max="4361" width="10.42578125" customWidth="1"/>
    <col min="4362" max="4362" width="10.5703125" customWidth="1"/>
    <col min="4363" max="4363" width="10.28515625" customWidth="1"/>
    <col min="4609" max="4609" width="54.7109375" customWidth="1"/>
    <col min="4610" max="4610" width="13.42578125" customWidth="1"/>
    <col min="4611" max="4611" width="10.28515625" bestFit="1" customWidth="1"/>
    <col min="4612" max="4614" width="10.140625" bestFit="1" customWidth="1"/>
    <col min="4615" max="4615" width="11.140625" customWidth="1"/>
    <col min="4616" max="4616" width="10.140625" bestFit="1" customWidth="1"/>
    <col min="4617" max="4617" width="10.42578125" customWidth="1"/>
    <col min="4618" max="4618" width="10.5703125" customWidth="1"/>
    <col min="4619" max="4619" width="10.28515625" customWidth="1"/>
    <col min="4865" max="4865" width="54.7109375" customWidth="1"/>
    <col min="4866" max="4866" width="13.42578125" customWidth="1"/>
    <col min="4867" max="4867" width="10.28515625" bestFit="1" customWidth="1"/>
    <col min="4868" max="4870" width="10.140625" bestFit="1" customWidth="1"/>
    <col min="4871" max="4871" width="11.140625" customWidth="1"/>
    <col min="4872" max="4872" width="10.140625" bestFit="1" customWidth="1"/>
    <col min="4873" max="4873" width="10.42578125" customWidth="1"/>
    <col min="4874" max="4874" width="10.5703125" customWidth="1"/>
    <col min="4875" max="4875" width="10.28515625" customWidth="1"/>
    <col min="5121" max="5121" width="54.7109375" customWidth="1"/>
    <col min="5122" max="5122" width="13.42578125" customWidth="1"/>
    <col min="5123" max="5123" width="10.28515625" bestFit="1" customWidth="1"/>
    <col min="5124" max="5126" width="10.140625" bestFit="1" customWidth="1"/>
    <col min="5127" max="5127" width="11.140625" customWidth="1"/>
    <col min="5128" max="5128" width="10.140625" bestFit="1" customWidth="1"/>
    <col min="5129" max="5129" width="10.42578125" customWidth="1"/>
    <col min="5130" max="5130" width="10.5703125" customWidth="1"/>
    <col min="5131" max="5131" width="10.28515625" customWidth="1"/>
    <col min="5377" max="5377" width="54.7109375" customWidth="1"/>
    <col min="5378" max="5378" width="13.42578125" customWidth="1"/>
    <col min="5379" max="5379" width="10.28515625" bestFit="1" customWidth="1"/>
    <col min="5380" max="5382" width="10.140625" bestFit="1" customWidth="1"/>
    <col min="5383" max="5383" width="11.140625" customWidth="1"/>
    <col min="5384" max="5384" width="10.140625" bestFit="1" customWidth="1"/>
    <col min="5385" max="5385" width="10.42578125" customWidth="1"/>
    <col min="5386" max="5386" width="10.5703125" customWidth="1"/>
    <col min="5387" max="5387" width="10.28515625" customWidth="1"/>
    <col min="5633" max="5633" width="54.7109375" customWidth="1"/>
    <col min="5634" max="5634" width="13.42578125" customWidth="1"/>
    <col min="5635" max="5635" width="10.28515625" bestFit="1" customWidth="1"/>
    <col min="5636" max="5638" width="10.140625" bestFit="1" customWidth="1"/>
    <col min="5639" max="5639" width="11.140625" customWidth="1"/>
    <col min="5640" max="5640" width="10.140625" bestFit="1" customWidth="1"/>
    <col min="5641" max="5641" width="10.42578125" customWidth="1"/>
    <col min="5642" max="5642" width="10.5703125" customWidth="1"/>
    <col min="5643" max="5643" width="10.28515625" customWidth="1"/>
    <col min="5889" max="5889" width="54.7109375" customWidth="1"/>
    <col min="5890" max="5890" width="13.42578125" customWidth="1"/>
    <col min="5891" max="5891" width="10.28515625" bestFit="1" customWidth="1"/>
    <col min="5892" max="5894" width="10.140625" bestFit="1" customWidth="1"/>
    <col min="5895" max="5895" width="11.140625" customWidth="1"/>
    <col min="5896" max="5896" width="10.140625" bestFit="1" customWidth="1"/>
    <col min="5897" max="5897" width="10.42578125" customWidth="1"/>
    <col min="5898" max="5898" width="10.5703125" customWidth="1"/>
    <col min="5899" max="5899" width="10.28515625" customWidth="1"/>
    <col min="6145" max="6145" width="54.7109375" customWidth="1"/>
    <col min="6146" max="6146" width="13.42578125" customWidth="1"/>
    <col min="6147" max="6147" width="10.28515625" bestFit="1" customWidth="1"/>
    <col min="6148" max="6150" width="10.140625" bestFit="1" customWidth="1"/>
    <col min="6151" max="6151" width="11.140625" customWidth="1"/>
    <col min="6152" max="6152" width="10.140625" bestFit="1" customWidth="1"/>
    <col min="6153" max="6153" width="10.42578125" customWidth="1"/>
    <col min="6154" max="6154" width="10.5703125" customWidth="1"/>
    <col min="6155" max="6155" width="10.28515625" customWidth="1"/>
    <col min="6401" max="6401" width="54.7109375" customWidth="1"/>
    <col min="6402" max="6402" width="13.42578125" customWidth="1"/>
    <col min="6403" max="6403" width="10.28515625" bestFit="1" customWidth="1"/>
    <col min="6404" max="6406" width="10.140625" bestFit="1" customWidth="1"/>
    <col min="6407" max="6407" width="11.140625" customWidth="1"/>
    <col min="6408" max="6408" width="10.140625" bestFit="1" customWidth="1"/>
    <col min="6409" max="6409" width="10.42578125" customWidth="1"/>
    <col min="6410" max="6410" width="10.5703125" customWidth="1"/>
    <col min="6411" max="6411" width="10.28515625" customWidth="1"/>
    <col min="6657" max="6657" width="54.7109375" customWidth="1"/>
    <col min="6658" max="6658" width="13.42578125" customWidth="1"/>
    <col min="6659" max="6659" width="10.28515625" bestFit="1" customWidth="1"/>
    <col min="6660" max="6662" width="10.140625" bestFit="1" customWidth="1"/>
    <col min="6663" max="6663" width="11.140625" customWidth="1"/>
    <col min="6664" max="6664" width="10.140625" bestFit="1" customWidth="1"/>
    <col min="6665" max="6665" width="10.42578125" customWidth="1"/>
    <col min="6666" max="6666" width="10.5703125" customWidth="1"/>
    <col min="6667" max="6667" width="10.28515625" customWidth="1"/>
    <col min="6913" max="6913" width="54.7109375" customWidth="1"/>
    <col min="6914" max="6914" width="13.42578125" customWidth="1"/>
    <col min="6915" max="6915" width="10.28515625" bestFit="1" customWidth="1"/>
    <col min="6916" max="6918" width="10.140625" bestFit="1" customWidth="1"/>
    <col min="6919" max="6919" width="11.140625" customWidth="1"/>
    <col min="6920" max="6920" width="10.140625" bestFit="1" customWidth="1"/>
    <col min="6921" max="6921" width="10.42578125" customWidth="1"/>
    <col min="6922" max="6922" width="10.5703125" customWidth="1"/>
    <col min="6923" max="6923" width="10.28515625" customWidth="1"/>
    <col min="7169" max="7169" width="54.7109375" customWidth="1"/>
    <col min="7170" max="7170" width="13.42578125" customWidth="1"/>
    <col min="7171" max="7171" width="10.28515625" bestFit="1" customWidth="1"/>
    <col min="7172" max="7174" width="10.140625" bestFit="1" customWidth="1"/>
    <col min="7175" max="7175" width="11.140625" customWidth="1"/>
    <col min="7176" max="7176" width="10.140625" bestFit="1" customWidth="1"/>
    <col min="7177" max="7177" width="10.42578125" customWidth="1"/>
    <col min="7178" max="7178" width="10.5703125" customWidth="1"/>
    <col min="7179" max="7179" width="10.28515625" customWidth="1"/>
    <col min="7425" max="7425" width="54.7109375" customWidth="1"/>
    <col min="7426" max="7426" width="13.42578125" customWidth="1"/>
    <col min="7427" max="7427" width="10.28515625" bestFit="1" customWidth="1"/>
    <col min="7428" max="7430" width="10.140625" bestFit="1" customWidth="1"/>
    <col min="7431" max="7431" width="11.140625" customWidth="1"/>
    <col min="7432" max="7432" width="10.140625" bestFit="1" customWidth="1"/>
    <col min="7433" max="7433" width="10.42578125" customWidth="1"/>
    <col min="7434" max="7434" width="10.5703125" customWidth="1"/>
    <col min="7435" max="7435" width="10.28515625" customWidth="1"/>
    <col min="7681" max="7681" width="54.7109375" customWidth="1"/>
    <col min="7682" max="7682" width="13.42578125" customWidth="1"/>
    <col min="7683" max="7683" width="10.28515625" bestFit="1" customWidth="1"/>
    <col min="7684" max="7686" width="10.140625" bestFit="1" customWidth="1"/>
    <col min="7687" max="7687" width="11.140625" customWidth="1"/>
    <col min="7688" max="7688" width="10.140625" bestFit="1" customWidth="1"/>
    <col min="7689" max="7689" width="10.42578125" customWidth="1"/>
    <col min="7690" max="7690" width="10.5703125" customWidth="1"/>
    <col min="7691" max="7691" width="10.28515625" customWidth="1"/>
    <col min="7937" max="7937" width="54.7109375" customWidth="1"/>
    <col min="7938" max="7938" width="13.42578125" customWidth="1"/>
    <col min="7939" max="7939" width="10.28515625" bestFit="1" customWidth="1"/>
    <col min="7940" max="7942" width="10.140625" bestFit="1" customWidth="1"/>
    <col min="7943" max="7943" width="11.140625" customWidth="1"/>
    <col min="7944" max="7944" width="10.140625" bestFit="1" customWidth="1"/>
    <col min="7945" max="7945" width="10.42578125" customWidth="1"/>
    <col min="7946" max="7946" width="10.5703125" customWidth="1"/>
    <col min="7947" max="7947" width="10.28515625" customWidth="1"/>
    <col min="8193" max="8193" width="54.7109375" customWidth="1"/>
    <col min="8194" max="8194" width="13.42578125" customWidth="1"/>
    <col min="8195" max="8195" width="10.28515625" bestFit="1" customWidth="1"/>
    <col min="8196" max="8198" width="10.140625" bestFit="1" customWidth="1"/>
    <col min="8199" max="8199" width="11.140625" customWidth="1"/>
    <col min="8200" max="8200" width="10.140625" bestFit="1" customWidth="1"/>
    <col min="8201" max="8201" width="10.42578125" customWidth="1"/>
    <col min="8202" max="8202" width="10.5703125" customWidth="1"/>
    <col min="8203" max="8203" width="10.28515625" customWidth="1"/>
    <col min="8449" max="8449" width="54.7109375" customWidth="1"/>
    <col min="8450" max="8450" width="13.42578125" customWidth="1"/>
    <col min="8451" max="8451" width="10.28515625" bestFit="1" customWidth="1"/>
    <col min="8452" max="8454" width="10.140625" bestFit="1" customWidth="1"/>
    <col min="8455" max="8455" width="11.140625" customWidth="1"/>
    <col min="8456" max="8456" width="10.140625" bestFit="1" customWidth="1"/>
    <col min="8457" max="8457" width="10.42578125" customWidth="1"/>
    <col min="8458" max="8458" width="10.5703125" customWidth="1"/>
    <col min="8459" max="8459" width="10.28515625" customWidth="1"/>
    <col min="8705" max="8705" width="54.7109375" customWidth="1"/>
    <col min="8706" max="8706" width="13.42578125" customWidth="1"/>
    <col min="8707" max="8707" width="10.28515625" bestFit="1" customWidth="1"/>
    <col min="8708" max="8710" width="10.140625" bestFit="1" customWidth="1"/>
    <col min="8711" max="8711" width="11.140625" customWidth="1"/>
    <col min="8712" max="8712" width="10.140625" bestFit="1" customWidth="1"/>
    <col min="8713" max="8713" width="10.42578125" customWidth="1"/>
    <col min="8714" max="8714" width="10.5703125" customWidth="1"/>
    <col min="8715" max="8715" width="10.28515625" customWidth="1"/>
    <col min="8961" max="8961" width="54.7109375" customWidth="1"/>
    <col min="8962" max="8962" width="13.42578125" customWidth="1"/>
    <col min="8963" max="8963" width="10.28515625" bestFit="1" customWidth="1"/>
    <col min="8964" max="8966" width="10.140625" bestFit="1" customWidth="1"/>
    <col min="8967" max="8967" width="11.140625" customWidth="1"/>
    <col min="8968" max="8968" width="10.140625" bestFit="1" customWidth="1"/>
    <col min="8969" max="8969" width="10.42578125" customWidth="1"/>
    <col min="8970" max="8970" width="10.5703125" customWidth="1"/>
    <col min="8971" max="8971" width="10.28515625" customWidth="1"/>
    <col min="9217" max="9217" width="54.7109375" customWidth="1"/>
    <col min="9218" max="9218" width="13.42578125" customWidth="1"/>
    <col min="9219" max="9219" width="10.28515625" bestFit="1" customWidth="1"/>
    <col min="9220" max="9222" width="10.140625" bestFit="1" customWidth="1"/>
    <col min="9223" max="9223" width="11.140625" customWidth="1"/>
    <col min="9224" max="9224" width="10.140625" bestFit="1" customWidth="1"/>
    <col min="9225" max="9225" width="10.42578125" customWidth="1"/>
    <col min="9226" max="9226" width="10.5703125" customWidth="1"/>
    <col min="9227" max="9227" width="10.28515625" customWidth="1"/>
    <col min="9473" max="9473" width="54.7109375" customWidth="1"/>
    <col min="9474" max="9474" width="13.42578125" customWidth="1"/>
    <col min="9475" max="9475" width="10.28515625" bestFit="1" customWidth="1"/>
    <col min="9476" max="9478" width="10.140625" bestFit="1" customWidth="1"/>
    <col min="9479" max="9479" width="11.140625" customWidth="1"/>
    <col min="9480" max="9480" width="10.140625" bestFit="1" customWidth="1"/>
    <col min="9481" max="9481" width="10.42578125" customWidth="1"/>
    <col min="9482" max="9482" width="10.5703125" customWidth="1"/>
    <col min="9483" max="9483" width="10.28515625" customWidth="1"/>
    <col min="9729" max="9729" width="54.7109375" customWidth="1"/>
    <col min="9730" max="9730" width="13.42578125" customWidth="1"/>
    <col min="9731" max="9731" width="10.28515625" bestFit="1" customWidth="1"/>
    <col min="9732" max="9734" width="10.140625" bestFit="1" customWidth="1"/>
    <col min="9735" max="9735" width="11.140625" customWidth="1"/>
    <col min="9736" max="9736" width="10.140625" bestFit="1" customWidth="1"/>
    <col min="9737" max="9737" width="10.42578125" customWidth="1"/>
    <col min="9738" max="9738" width="10.5703125" customWidth="1"/>
    <col min="9739" max="9739" width="10.28515625" customWidth="1"/>
    <col min="9985" max="9985" width="54.7109375" customWidth="1"/>
    <col min="9986" max="9986" width="13.42578125" customWidth="1"/>
    <col min="9987" max="9987" width="10.28515625" bestFit="1" customWidth="1"/>
    <col min="9988" max="9990" width="10.140625" bestFit="1" customWidth="1"/>
    <col min="9991" max="9991" width="11.140625" customWidth="1"/>
    <col min="9992" max="9992" width="10.140625" bestFit="1" customWidth="1"/>
    <col min="9993" max="9993" width="10.42578125" customWidth="1"/>
    <col min="9994" max="9994" width="10.5703125" customWidth="1"/>
    <col min="9995" max="9995" width="10.28515625" customWidth="1"/>
    <col min="10241" max="10241" width="54.7109375" customWidth="1"/>
    <col min="10242" max="10242" width="13.42578125" customWidth="1"/>
    <col min="10243" max="10243" width="10.28515625" bestFit="1" customWidth="1"/>
    <col min="10244" max="10246" width="10.140625" bestFit="1" customWidth="1"/>
    <col min="10247" max="10247" width="11.140625" customWidth="1"/>
    <col min="10248" max="10248" width="10.140625" bestFit="1" customWidth="1"/>
    <col min="10249" max="10249" width="10.42578125" customWidth="1"/>
    <col min="10250" max="10250" width="10.5703125" customWidth="1"/>
    <col min="10251" max="10251" width="10.28515625" customWidth="1"/>
    <col min="10497" max="10497" width="54.7109375" customWidth="1"/>
    <col min="10498" max="10498" width="13.42578125" customWidth="1"/>
    <col min="10499" max="10499" width="10.28515625" bestFit="1" customWidth="1"/>
    <col min="10500" max="10502" width="10.140625" bestFit="1" customWidth="1"/>
    <col min="10503" max="10503" width="11.140625" customWidth="1"/>
    <col min="10504" max="10504" width="10.140625" bestFit="1" customWidth="1"/>
    <col min="10505" max="10505" width="10.42578125" customWidth="1"/>
    <col min="10506" max="10506" width="10.5703125" customWidth="1"/>
    <col min="10507" max="10507" width="10.28515625" customWidth="1"/>
    <col min="10753" max="10753" width="54.7109375" customWidth="1"/>
    <col min="10754" max="10754" width="13.42578125" customWidth="1"/>
    <col min="10755" max="10755" width="10.28515625" bestFit="1" customWidth="1"/>
    <col min="10756" max="10758" width="10.140625" bestFit="1" customWidth="1"/>
    <col min="10759" max="10759" width="11.140625" customWidth="1"/>
    <col min="10760" max="10760" width="10.140625" bestFit="1" customWidth="1"/>
    <col min="10761" max="10761" width="10.42578125" customWidth="1"/>
    <col min="10762" max="10762" width="10.5703125" customWidth="1"/>
    <col min="10763" max="10763" width="10.28515625" customWidth="1"/>
    <col min="11009" max="11009" width="54.7109375" customWidth="1"/>
    <col min="11010" max="11010" width="13.42578125" customWidth="1"/>
    <col min="11011" max="11011" width="10.28515625" bestFit="1" customWidth="1"/>
    <col min="11012" max="11014" width="10.140625" bestFit="1" customWidth="1"/>
    <col min="11015" max="11015" width="11.140625" customWidth="1"/>
    <col min="11016" max="11016" width="10.140625" bestFit="1" customWidth="1"/>
    <col min="11017" max="11017" width="10.42578125" customWidth="1"/>
    <col min="11018" max="11018" width="10.5703125" customWidth="1"/>
    <col min="11019" max="11019" width="10.28515625" customWidth="1"/>
    <col min="11265" max="11265" width="54.7109375" customWidth="1"/>
    <col min="11266" max="11266" width="13.42578125" customWidth="1"/>
    <col min="11267" max="11267" width="10.28515625" bestFit="1" customWidth="1"/>
    <col min="11268" max="11270" width="10.140625" bestFit="1" customWidth="1"/>
    <col min="11271" max="11271" width="11.140625" customWidth="1"/>
    <col min="11272" max="11272" width="10.140625" bestFit="1" customWidth="1"/>
    <col min="11273" max="11273" width="10.42578125" customWidth="1"/>
    <col min="11274" max="11274" width="10.5703125" customWidth="1"/>
    <col min="11275" max="11275" width="10.28515625" customWidth="1"/>
    <col min="11521" max="11521" width="54.7109375" customWidth="1"/>
    <col min="11522" max="11522" width="13.42578125" customWidth="1"/>
    <col min="11523" max="11523" width="10.28515625" bestFit="1" customWidth="1"/>
    <col min="11524" max="11526" width="10.140625" bestFit="1" customWidth="1"/>
    <col min="11527" max="11527" width="11.140625" customWidth="1"/>
    <col min="11528" max="11528" width="10.140625" bestFit="1" customWidth="1"/>
    <col min="11529" max="11529" width="10.42578125" customWidth="1"/>
    <col min="11530" max="11530" width="10.5703125" customWidth="1"/>
    <col min="11531" max="11531" width="10.28515625" customWidth="1"/>
    <col min="11777" max="11777" width="54.7109375" customWidth="1"/>
    <col min="11778" max="11778" width="13.42578125" customWidth="1"/>
    <col min="11779" max="11779" width="10.28515625" bestFit="1" customWidth="1"/>
    <col min="11780" max="11782" width="10.140625" bestFit="1" customWidth="1"/>
    <col min="11783" max="11783" width="11.140625" customWidth="1"/>
    <col min="11784" max="11784" width="10.140625" bestFit="1" customWidth="1"/>
    <col min="11785" max="11785" width="10.42578125" customWidth="1"/>
    <col min="11786" max="11786" width="10.5703125" customWidth="1"/>
    <col min="11787" max="11787" width="10.28515625" customWidth="1"/>
    <col min="12033" max="12033" width="54.7109375" customWidth="1"/>
    <col min="12034" max="12034" width="13.42578125" customWidth="1"/>
    <col min="12035" max="12035" width="10.28515625" bestFit="1" customWidth="1"/>
    <col min="12036" max="12038" width="10.140625" bestFit="1" customWidth="1"/>
    <col min="12039" max="12039" width="11.140625" customWidth="1"/>
    <col min="12040" max="12040" width="10.140625" bestFit="1" customWidth="1"/>
    <col min="12041" max="12041" width="10.42578125" customWidth="1"/>
    <col min="12042" max="12042" width="10.5703125" customWidth="1"/>
    <col min="12043" max="12043" width="10.28515625" customWidth="1"/>
    <col min="12289" max="12289" width="54.7109375" customWidth="1"/>
    <col min="12290" max="12290" width="13.42578125" customWidth="1"/>
    <col min="12291" max="12291" width="10.28515625" bestFit="1" customWidth="1"/>
    <col min="12292" max="12294" width="10.140625" bestFit="1" customWidth="1"/>
    <col min="12295" max="12295" width="11.140625" customWidth="1"/>
    <col min="12296" max="12296" width="10.140625" bestFit="1" customWidth="1"/>
    <col min="12297" max="12297" width="10.42578125" customWidth="1"/>
    <col min="12298" max="12298" width="10.5703125" customWidth="1"/>
    <col min="12299" max="12299" width="10.28515625" customWidth="1"/>
    <col min="12545" max="12545" width="54.7109375" customWidth="1"/>
    <col min="12546" max="12546" width="13.42578125" customWidth="1"/>
    <col min="12547" max="12547" width="10.28515625" bestFit="1" customWidth="1"/>
    <col min="12548" max="12550" width="10.140625" bestFit="1" customWidth="1"/>
    <col min="12551" max="12551" width="11.140625" customWidth="1"/>
    <col min="12552" max="12552" width="10.140625" bestFit="1" customWidth="1"/>
    <col min="12553" max="12553" width="10.42578125" customWidth="1"/>
    <col min="12554" max="12554" width="10.5703125" customWidth="1"/>
    <col min="12555" max="12555" width="10.28515625" customWidth="1"/>
    <col min="12801" max="12801" width="54.7109375" customWidth="1"/>
    <col min="12802" max="12802" width="13.42578125" customWidth="1"/>
    <col min="12803" max="12803" width="10.28515625" bestFit="1" customWidth="1"/>
    <col min="12804" max="12806" width="10.140625" bestFit="1" customWidth="1"/>
    <col min="12807" max="12807" width="11.140625" customWidth="1"/>
    <col min="12808" max="12808" width="10.140625" bestFit="1" customWidth="1"/>
    <col min="12809" max="12809" width="10.42578125" customWidth="1"/>
    <col min="12810" max="12810" width="10.5703125" customWidth="1"/>
    <col min="12811" max="12811" width="10.28515625" customWidth="1"/>
    <col min="13057" max="13057" width="54.7109375" customWidth="1"/>
    <col min="13058" max="13058" width="13.42578125" customWidth="1"/>
    <col min="13059" max="13059" width="10.28515625" bestFit="1" customWidth="1"/>
    <col min="13060" max="13062" width="10.140625" bestFit="1" customWidth="1"/>
    <col min="13063" max="13063" width="11.140625" customWidth="1"/>
    <col min="13064" max="13064" width="10.140625" bestFit="1" customWidth="1"/>
    <col min="13065" max="13065" width="10.42578125" customWidth="1"/>
    <col min="13066" max="13066" width="10.5703125" customWidth="1"/>
    <col min="13067" max="13067" width="10.28515625" customWidth="1"/>
    <col min="13313" max="13313" width="54.7109375" customWidth="1"/>
    <col min="13314" max="13314" width="13.42578125" customWidth="1"/>
    <col min="13315" max="13315" width="10.28515625" bestFit="1" customWidth="1"/>
    <col min="13316" max="13318" width="10.140625" bestFit="1" customWidth="1"/>
    <col min="13319" max="13319" width="11.140625" customWidth="1"/>
    <col min="13320" max="13320" width="10.140625" bestFit="1" customWidth="1"/>
    <col min="13321" max="13321" width="10.42578125" customWidth="1"/>
    <col min="13322" max="13322" width="10.5703125" customWidth="1"/>
    <col min="13323" max="13323" width="10.28515625" customWidth="1"/>
    <col min="13569" max="13569" width="54.7109375" customWidth="1"/>
    <col min="13570" max="13570" width="13.42578125" customWidth="1"/>
    <col min="13571" max="13571" width="10.28515625" bestFit="1" customWidth="1"/>
    <col min="13572" max="13574" width="10.140625" bestFit="1" customWidth="1"/>
    <col min="13575" max="13575" width="11.140625" customWidth="1"/>
    <col min="13576" max="13576" width="10.140625" bestFit="1" customWidth="1"/>
    <col min="13577" max="13577" width="10.42578125" customWidth="1"/>
    <col min="13578" max="13578" width="10.5703125" customWidth="1"/>
    <col min="13579" max="13579" width="10.28515625" customWidth="1"/>
    <col min="13825" max="13825" width="54.7109375" customWidth="1"/>
    <col min="13826" max="13826" width="13.42578125" customWidth="1"/>
    <col min="13827" max="13827" width="10.28515625" bestFit="1" customWidth="1"/>
    <col min="13828" max="13830" width="10.140625" bestFit="1" customWidth="1"/>
    <col min="13831" max="13831" width="11.140625" customWidth="1"/>
    <col min="13832" max="13832" width="10.140625" bestFit="1" customWidth="1"/>
    <col min="13833" max="13833" width="10.42578125" customWidth="1"/>
    <col min="13834" max="13834" width="10.5703125" customWidth="1"/>
    <col min="13835" max="13835" width="10.28515625" customWidth="1"/>
    <col min="14081" max="14081" width="54.7109375" customWidth="1"/>
    <col min="14082" max="14082" width="13.42578125" customWidth="1"/>
    <col min="14083" max="14083" width="10.28515625" bestFit="1" customWidth="1"/>
    <col min="14084" max="14086" width="10.140625" bestFit="1" customWidth="1"/>
    <col min="14087" max="14087" width="11.140625" customWidth="1"/>
    <col min="14088" max="14088" width="10.140625" bestFit="1" customWidth="1"/>
    <col min="14089" max="14089" width="10.42578125" customWidth="1"/>
    <col min="14090" max="14090" width="10.5703125" customWidth="1"/>
    <col min="14091" max="14091" width="10.28515625" customWidth="1"/>
    <col min="14337" max="14337" width="54.7109375" customWidth="1"/>
    <col min="14338" max="14338" width="13.42578125" customWidth="1"/>
    <col min="14339" max="14339" width="10.28515625" bestFit="1" customWidth="1"/>
    <col min="14340" max="14342" width="10.140625" bestFit="1" customWidth="1"/>
    <col min="14343" max="14343" width="11.140625" customWidth="1"/>
    <col min="14344" max="14344" width="10.140625" bestFit="1" customWidth="1"/>
    <col min="14345" max="14345" width="10.42578125" customWidth="1"/>
    <col min="14346" max="14346" width="10.5703125" customWidth="1"/>
    <col min="14347" max="14347" width="10.28515625" customWidth="1"/>
    <col min="14593" max="14593" width="54.7109375" customWidth="1"/>
    <col min="14594" max="14594" width="13.42578125" customWidth="1"/>
    <col min="14595" max="14595" width="10.28515625" bestFit="1" customWidth="1"/>
    <col min="14596" max="14598" width="10.140625" bestFit="1" customWidth="1"/>
    <col min="14599" max="14599" width="11.140625" customWidth="1"/>
    <col min="14600" max="14600" width="10.140625" bestFit="1" customWidth="1"/>
    <col min="14601" max="14601" width="10.42578125" customWidth="1"/>
    <col min="14602" max="14602" width="10.5703125" customWidth="1"/>
    <col min="14603" max="14603" width="10.28515625" customWidth="1"/>
    <col min="14849" max="14849" width="54.7109375" customWidth="1"/>
    <col min="14850" max="14850" width="13.42578125" customWidth="1"/>
    <col min="14851" max="14851" width="10.28515625" bestFit="1" customWidth="1"/>
    <col min="14852" max="14854" width="10.140625" bestFit="1" customWidth="1"/>
    <col min="14855" max="14855" width="11.140625" customWidth="1"/>
    <col min="14856" max="14856" width="10.140625" bestFit="1" customWidth="1"/>
    <col min="14857" max="14857" width="10.42578125" customWidth="1"/>
    <col min="14858" max="14858" width="10.5703125" customWidth="1"/>
    <col min="14859" max="14859" width="10.28515625" customWidth="1"/>
    <col min="15105" max="15105" width="54.7109375" customWidth="1"/>
    <col min="15106" max="15106" width="13.42578125" customWidth="1"/>
    <col min="15107" max="15107" width="10.28515625" bestFit="1" customWidth="1"/>
    <col min="15108" max="15110" width="10.140625" bestFit="1" customWidth="1"/>
    <col min="15111" max="15111" width="11.140625" customWidth="1"/>
    <col min="15112" max="15112" width="10.140625" bestFit="1" customWidth="1"/>
    <col min="15113" max="15113" width="10.42578125" customWidth="1"/>
    <col min="15114" max="15114" width="10.5703125" customWidth="1"/>
    <col min="15115" max="15115" width="10.28515625" customWidth="1"/>
    <col min="15361" max="15361" width="54.7109375" customWidth="1"/>
    <col min="15362" max="15362" width="13.42578125" customWidth="1"/>
    <col min="15363" max="15363" width="10.28515625" bestFit="1" customWidth="1"/>
    <col min="15364" max="15366" width="10.140625" bestFit="1" customWidth="1"/>
    <col min="15367" max="15367" width="11.140625" customWidth="1"/>
    <col min="15368" max="15368" width="10.140625" bestFit="1" customWidth="1"/>
    <col min="15369" max="15369" width="10.42578125" customWidth="1"/>
    <col min="15370" max="15370" width="10.5703125" customWidth="1"/>
    <col min="15371" max="15371" width="10.28515625" customWidth="1"/>
    <col min="15617" max="15617" width="54.7109375" customWidth="1"/>
    <col min="15618" max="15618" width="13.42578125" customWidth="1"/>
    <col min="15619" max="15619" width="10.28515625" bestFit="1" customWidth="1"/>
    <col min="15620" max="15622" width="10.140625" bestFit="1" customWidth="1"/>
    <col min="15623" max="15623" width="11.140625" customWidth="1"/>
    <col min="15624" max="15624" width="10.140625" bestFit="1" customWidth="1"/>
    <col min="15625" max="15625" width="10.42578125" customWidth="1"/>
    <col min="15626" max="15626" width="10.5703125" customWidth="1"/>
    <col min="15627" max="15627" width="10.28515625" customWidth="1"/>
    <col min="15873" max="15873" width="54.7109375" customWidth="1"/>
    <col min="15874" max="15874" width="13.42578125" customWidth="1"/>
    <col min="15875" max="15875" width="10.28515625" bestFit="1" customWidth="1"/>
    <col min="15876" max="15878" width="10.140625" bestFit="1" customWidth="1"/>
    <col min="15879" max="15879" width="11.140625" customWidth="1"/>
    <col min="15880" max="15880" width="10.140625" bestFit="1" customWidth="1"/>
    <col min="15881" max="15881" width="10.42578125" customWidth="1"/>
    <col min="15882" max="15882" width="10.5703125" customWidth="1"/>
    <col min="15883" max="15883" width="10.28515625" customWidth="1"/>
    <col min="16129" max="16129" width="54.7109375" customWidth="1"/>
    <col min="16130" max="16130" width="13.42578125" customWidth="1"/>
    <col min="16131" max="16131" width="10.28515625" bestFit="1" customWidth="1"/>
    <col min="16132" max="16134" width="10.140625" bestFit="1" customWidth="1"/>
    <col min="16135" max="16135" width="11.140625" customWidth="1"/>
    <col min="16136" max="16136" width="10.140625" bestFit="1" customWidth="1"/>
    <col min="16137" max="16137" width="10.42578125" customWidth="1"/>
    <col min="16138" max="16138" width="10.5703125" customWidth="1"/>
    <col min="16139" max="16139" width="10.28515625" customWidth="1"/>
  </cols>
  <sheetData>
    <row r="3" spans="1:12" ht="18" x14ac:dyDescent="0.25">
      <c r="A3" s="130" t="s">
        <v>312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.75" x14ac:dyDescent="0.25">
      <c r="A4" s="54"/>
    </row>
    <row r="5" spans="1:12" ht="15.75" x14ac:dyDescent="0.25">
      <c r="B5" s="55">
        <v>37622</v>
      </c>
      <c r="C5" s="55">
        <v>38078</v>
      </c>
      <c r="D5" s="55">
        <v>38534</v>
      </c>
      <c r="E5" s="55">
        <v>38899</v>
      </c>
      <c r="F5" s="55">
        <v>39264</v>
      </c>
      <c r="G5" s="55">
        <v>39630</v>
      </c>
      <c r="H5" s="55">
        <v>39995</v>
      </c>
      <c r="I5" s="55">
        <v>40360</v>
      </c>
      <c r="J5" s="55">
        <v>41091</v>
      </c>
      <c r="K5" s="55">
        <v>41821</v>
      </c>
      <c r="L5" s="55">
        <v>42186</v>
      </c>
    </row>
    <row r="6" spans="1:12" ht="15.75" x14ac:dyDescent="0.25">
      <c r="A6" s="56" t="s">
        <v>313</v>
      </c>
    </row>
    <row r="7" spans="1:12" ht="15.75" x14ac:dyDescent="0.25">
      <c r="A7" s="54" t="s">
        <v>510</v>
      </c>
      <c r="B7" s="57">
        <v>0.10199999999999999</v>
      </c>
      <c r="C7" s="57">
        <v>0.1074</v>
      </c>
      <c r="D7" s="57">
        <v>0.1094</v>
      </c>
      <c r="E7" s="58">
        <v>0.11137357412640812</v>
      </c>
      <c r="F7" s="58">
        <v>0.11</v>
      </c>
      <c r="G7" s="58">
        <v>0.1086</v>
      </c>
      <c r="H7" s="58">
        <v>0.1074</v>
      </c>
      <c r="I7" s="58">
        <v>0.11210000000000001</v>
      </c>
      <c r="J7" s="58">
        <f>'[1]Table 2'!C59</f>
        <v>0.1136279824201329</v>
      </c>
      <c r="K7" s="58">
        <v>0.1123</v>
      </c>
      <c r="L7" s="58">
        <f>Stats!C58</f>
        <v>0.11500574568331763</v>
      </c>
    </row>
    <row r="8" spans="1:12" ht="15.75" x14ac:dyDescent="0.25">
      <c r="A8" s="54" t="s">
        <v>314</v>
      </c>
      <c r="B8" s="57">
        <v>5.0700000000000002E-2</v>
      </c>
      <c r="C8" s="57">
        <v>5.4800000000000001E-2</v>
      </c>
      <c r="D8" s="57">
        <v>5.91E-2</v>
      </c>
      <c r="E8" s="57">
        <v>2.9899999999999999E-2</v>
      </c>
      <c r="F8" s="57">
        <v>4.19E-2</v>
      </c>
      <c r="G8" s="57">
        <f>11.4%*0.371</f>
        <v>4.2293999999999998E-2</v>
      </c>
      <c r="H8" s="57">
        <v>4.7899999999999998E-2</v>
      </c>
      <c r="I8" s="58">
        <v>5.0500000000000003E-2</v>
      </c>
      <c r="J8" s="58">
        <v>5.8200000000000002E-2</v>
      </c>
      <c r="K8" s="58">
        <v>5.8200000000000002E-2</v>
      </c>
      <c r="L8" s="58">
        <f>6.46%</f>
        <v>6.4600000000000005E-2</v>
      </c>
    </row>
    <row r="9" spans="1:12" ht="15.75" x14ac:dyDescent="0.25">
      <c r="A9" s="54" t="s">
        <v>315</v>
      </c>
      <c r="B9" s="59">
        <f t="shared" ref="B9:L9" si="0">B7+B8</f>
        <v>0.1527</v>
      </c>
      <c r="C9" s="59">
        <f t="shared" si="0"/>
        <v>0.16220000000000001</v>
      </c>
      <c r="D9" s="59">
        <f t="shared" si="0"/>
        <v>0.16849999999999998</v>
      </c>
      <c r="E9" s="59">
        <f t="shared" si="0"/>
        <v>0.14127357412640812</v>
      </c>
      <c r="F9" s="59">
        <f t="shared" si="0"/>
        <v>0.15190000000000001</v>
      </c>
      <c r="G9" s="59">
        <f t="shared" si="0"/>
        <v>0.150894</v>
      </c>
      <c r="H9" s="59">
        <f t="shared" si="0"/>
        <v>0.15529999999999999</v>
      </c>
      <c r="I9" s="59">
        <f t="shared" si="0"/>
        <v>0.16260000000000002</v>
      </c>
      <c r="J9" s="59">
        <f t="shared" si="0"/>
        <v>0.17182798242013292</v>
      </c>
      <c r="K9" s="59">
        <f t="shared" si="0"/>
        <v>0.17049999999999998</v>
      </c>
      <c r="L9" s="59">
        <f t="shared" si="0"/>
        <v>0.17960574568331764</v>
      </c>
    </row>
    <row r="10" spans="1:12" ht="15.75" x14ac:dyDescent="0.25">
      <c r="A10" s="54"/>
      <c r="B10" s="59"/>
      <c r="C10" s="59"/>
      <c r="D10" s="59"/>
      <c r="E10" s="59"/>
      <c r="F10" s="59"/>
      <c r="G10" s="59"/>
      <c r="H10" s="59"/>
      <c r="I10" s="59"/>
      <c r="J10" s="59"/>
      <c r="K10" s="58"/>
    </row>
    <row r="11" spans="1:12" ht="15.75" x14ac:dyDescent="0.25">
      <c r="A11" s="54" t="s">
        <v>371</v>
      </c>
      <c r="B11" s="57">
        <v>6.8699999999999997E-2</v>
      </c>
      <c r="C11" s="57">
        <v>6.93E-2</v>
      </c>
      <c r="D11" s="57">
        <v>6.9400000000000003E-2</v>
      </c>
      <c r="E11" s="58">
        <f>'[2]Multiyear source data'!P58</f>
        <v>7.0426640156244308E-2</v>
      </c>
      <c r="F11" s="58">
        <v>7.0699999999999999E-2</v>
      </c>
      <c r="G11" s="58">
        <v>7.1099999999999997E-2</v>
      </c>
      <c r="H11" s="58">
        <v>7.2599999999999998E-2</v>
      </c>
      <c r="I11" s="58">
        <v>7.4200000000000002E-2</v>
      </c>
      <c r="J11" s="58">
        <f>'[1]raw data worksheet'!M57</f>
        <v>7.3301571974767304E-2</v>
      </c>
      <c r="K11" s="58">
        <v>7.51E-2</v>
      </c>
      <c r="L11" s="58">
        <f>Stats!K58</f>
        <v>7.5655551076586974E-2</v>
      </c>
    </row>
    <row r="12" spans="1:12" ht="15.75" x14ac:dyDescent="0.25">
      <c r="K12" s="58"/>
    </row>
    <row r="13" spans="1:12" ht="15.75" x14ac:dyDescent="0.25">
      <c r="A13" s="54" t="s">
        <v>509</v>
      </c>
      <c r="B13" s="57">
        <f>B7-B11</f>
        <v>3.3299999999999996E-2</v>
      </c>
      <c r="C13" s="57">
        <f t="shared" ref="C13:L13" si="1">C7-C11</f>
        <v>3.8099999999999995E-2</v>
      </c>
      <c r="D13" s="57">
        <f t="shared" si="1"/>
        <v>3.9999999999999994E-2</v>
      </c>
      <c r="E13" s="57">
        <f t="shared" si="1"/>
        <v>4.0946933970163815E-2</v>
      </c>
      <c r="F13" s="57">
        <f t="shared" si="1"/>
        <v>3.9300000000000002E-2</v>
      </c>
      <c r="G13" s="57">
        <f t="shared" si="1"/>
        <v>3.7500000000000006E-2</v>
      </c>
      <c r="H13" s="57">
        <f t="shared" si="1"/>
        <v>3.4799999999999998E-2</v>
      </c>
      <c r="I13" s="57">
        <f t="shared" si="1"/>
        <v>3.7900000000000003E-2</v>
      </c>
      <c r="J13" s="57">
        <f t="shared" si="1"/>
        <v>4.0326410445365599E-2</v>
      </c>
      <c r="K13" s="57">
        <f t="shared" si="1"/>
        <v>3.7199999999999997E-2</v>
      </c>
      <c r="L13" s="57">
        <f t="shared" si="1"/>
        <v>3.9350194606730657E-2</v>
      </c>
    </row>
    <row r="14" spans="1:12" ht="15.75" x14ac:dyDescent="0.25">
      <c r="A14" s="54"/>
      <c r="B14" s="57"/>
      <c r="C14" s="57"/>
      <c r="D14" s="57"/>
      <c r="E14" s="57"/>
      <c r="F14" s="57"/>
      <c r="G14" s="57"/>
      <c r="H14" s="57"/>
      <c r="I14" s="57"/>
      <c r="J14" s="57"/>
    </row>
    <row r="15" spans="1:12" x14ac:dyDescent="0.25">
      <c r="A15" s="60" t="s">
        <v>316</v>
      </c>
      <c r="J15" s="22"/>
    </row>
    <row r="16" spans="1:12" x14ac:dyDescent="0.25">
      <c r="A16" s="60" t="s">
        <v>507</v>
      </c>
    </row>
    <row r="17" spans="1:1" x14ac:dyDescent="0.25">
      <c r="A17" t="s">
        <v>317</v>
      </c>
    </row>
    <row r="19" spans="1:1" x14ac:dyDescent="0.25">
      <c r="A19" t="s">
        <v>318</v>
      </c>
    </row>
    <row r="20" spans="1:1" x14ac:dyDescent="0.25">
      <c r="A20" t="s">
        <v>319</v>
      </c>
    </row>
    <row r="21" spans="1:1" x14ac:dyDescent="0.25">
      <c r="A21" t="s">
        <v>508</v>
      </c>
    </row>
    <row r="22" spans="1:1" x14ac:dyDescent="0.25">
      <c r="A22" t="s">
        <v>321</v>
      </c>
    </row>
    <row r="23" spans="1:1" x14ac:dyDescent="0.25">
      <c r="A23" t="s">
        <v>322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325</v>
      </c>
    </row>
    <row r="27" spans="1:1" x14ac:dyDescent="0.25">
      <c r="A27" t="s">
        <v>326</v>
      </c>
    </row>
    <row r="28" spans="1:1" x14ac:dyDescent="0.25">
      <c r="A28" t="s">
        <v>327</v>
      </c>
    </row>
    <row r="29" spans="1:1" x14ac:dyDescent="0.25">
      <c r="A29" t="s">
        <v>328</v>
      </c>
    </row>
    <row r="30" spans="1:1" x14ac:dyDescent="0.25">
      <c r="A30" t="s">
        <v>329</v>
      </c>
    </row>
    <row r="31" spans="1:1" x14ac:dyDescent="0.25">
      <c r="A31" t="s">
        <v>453</v>
      </c>
    </row>
    <row r="32" spans="1:1" x14ac:dyDescent="0.25">
      <c r="A32" s="61" t="s">
        <v>320</v>
      </c>
    </row>
    <row r="34" spans="2:10" x14ac:dyDescent="0.25">
      <c r="B34" s="29"/>
      <c r="C34" s="29"/>
    </row>
    <row r="35" spans="2:10" x14ac:dyDescent="0.25">
      <c r="B35" s="29"/>
    </row>
    <row r="36" spans="2:10" ht="15.75" x14ac:dyDescent="0.25">
      <c r="B36" s="62"/>
      <c r="C36" s="62"/>
      <c r="D36" s="62"/>
      <c r="E36" s="62"/>
      <c r="F36" s="62"/>
      <c r="G36" s="62"/>
      <c r="H36" s="62"/>
      <c r="I36" s="62"/>
      <c r="J36" s="62"/>
    </row>
    <row r="37" spans="2:10" ht="15.75" x14ac:dyDescent="0.25">
      <c r="B37" s="57"/>
      <c r="C37" s="57"/>
      <c r="D37" s="57"/>
      <c r="E37" s="58"/>
      <c r="F37" s="58"/>
      <c r="G37" s="58"/>
      <c r="H37" s="58"/>
      <c r="I37" s="58"/>
      <c r="J37" s="58"/>
    </row>
    <row r="38" spans="2:10" ht="15.75" x14ac:dyDescent="0.25">
      <c r="B38" s="57"/>
      <c r="C38" s="57"/>
      <c r="D38" s="57"/>
      <c r="E38" s="58"/>
      <c r="F38" s="58"/>
      <c r="G38" s="58"/>
      <c r="H38" s="58"/>
      <c r="I38" s="58"/>
      <c r="J38" s="58"/>
    </row>
  </sheetData>
  <mergeCells count="1">
    <mergeCell ref="A3:K3"/>
  </mergeCells>
  <hyperlinks>
    <hyperlink ref="A32" r:id="rId1"/>
  </hyperlinks>
  <printOptions gridLines="1"/>
  <pageMargins left="0.7" right="0.7" top="0.75" bottom="0.75" header="0.3" footer="0.3"/>
  <pageSetup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opLeftCell="A22" workbookViewId="0">
      <selection activeCell="D63" sqref="D63"/>
    </sheetView>
  </sheetViews>
  <sheetFormatPr defaultRowHeight="15" x14ac:dyDescent="0.25"/>
  <cols>
    <col min="1" max="1" width="5" style="22" customWidth="1"/>
    <col min="2" max="2" width="21.28515625" customWidth="1"/>
    <col min="3" max="3" width="14" customWidth="1"/>
    <col min="4" max="4" width="10.85546875" customWidth="1"/>
    <col min="5" max="5" width="17.7109375" customWidth="1"/>
  </cols>
  <sheetData>
    <row r="1" spans="1:10" x14ac:dyDescent="0.25">
      <c r="A1" s="132" t="s">
        <v>372</v>
      </c>
      <c r="B1" s="132"/>
      <c r="C1" s="132"/>
      <c r="D1" s="132"/>
      <c r="E1" s="132"/>
    </row>
    <row r="2" spans="1:10" x14ac:dyDescent="0.25">
      <c r="A2" s="132" t="s">
        <v>477</v>
      </c>
      <c r="B2" s="132"/>
      <c r="C2" s="132"/>
      <c r="D2" s="132"/>
      <c r="E2" s="132"/>
    </row>
    <row r="4" spans="1:10" x14ac:dyDescent="0.25">
      <c r="C4" s="22">
        <v>2015</v>
      </c>
      <c r="D4" s="123">
        <v>2015</v>
      </c>
      <c r="E4" s="123">
        <v>2015</v>
      </c>
    </row>
    <row r="5" spans="1:10" x14ac:dyDescent="0.25">
      <c r="C5" s="22" t="s">
        <v>256</v>
      </c>
      <c r="D5" s="22" t="s">
        <v>276</v>
      </c>
      <c r="E5" s="22" t="s">
        <v>279</v>
      </c>
    </row>
    <row r="6" spans="1:10" x14ac:dyDescent="0.25">
      <c r="C6" s="22" t="s">
        <v>257</v>
      </c>
      <c r="D6" s="22" t="s">
        <v>47</v>
      </c>
      <c r="E6" s="22" t="s">
        <v>280</v>
      </c>
    </row>
    <row r="7" spans="1:10" x14ac:dyDescent="0.25">
      <c r="C7" s="76" t="s">
        <v>258</v>
      </c>
      <c r="D7" s="76" t="s">
        <v>258</v>
      </c>
      <c r="E7" s="76" t="s">
        <v>258</v>
      </c>
    </row>
    <row r="8" spans="1:10" x14ac:dyDescent="0.25">
      <c r="A8" s="124">
        <v>1</v>
      </c>
      <c r="B8" s="39" t="s">
        <v>227</v>
      </c>
      <c r="C8" s="42">
        <f>'APPENDIX A'!C342</f>
        <v>0.18686878216123498</v>
      </c>
      <c r="D8" s="42">
        <f>'TABLE 1'!$L$8</f>
        <v>6.4600000000000005E-2</v>
      </c>
      <c r="E8" s="43">
        <f t="shared" ref="E8:E39" si="0">C8+D8</f>
        <v>0.25146878216123497</v>
      </c>
    </row>
    <row r="9" spans="1:10" x14ac:dyDescent="0.25">
      <c r="A9" s="124">
        <v>2</v>
      </c>
      <c r="B9" s="39" t="s">
        <v>137</v>
      </c>
      <c r="C9" s="42">
        <f>'APPENDIX A'!C190</f>
        <v>0.18525709519725556</v>
      </c>
      <c r="D9" s="42">
        <f>'TABLE 1'!$L$8</f>
        <v>6.4600000000000005E-2</v>
      </c>
      <c r="E9" s="43">
        <f t="shared" si="0"/>
        <v>0.24985709519725557</v>
      </c>
    </row>
    <row r="10" spans="1:10" x14ac:dyDescent="0.25">
      <c r="A10" s="124">
        <v>3</v>
      </c>
      <c r="B10" s="39" t="s">
        <v>156</v>
      </c>
      <c r="C10" s="42">
        <f>'APPENDIX A'!C228</f>
        <v>0.17901123499142368</v>
      </c>
      <c r="D10" s="42">
        <f>'TABLE 1'!$L$8</f>
        <v>6.4600000000000005E-2</v>
      </c>
      <c r="E10" s="43">
        <f t="shared" si="0"/>
        <v>0.24361123499142368</v>
      </c>
    </row>
    <row r="11" spans="1:10" x14ac:dyDescent="0.25">
      <c r="A11" s="124">
        <v>4</v>
      </c>
      <c r="B11" s="39" t="s">
        <v>74</v>
      </c>
      <c r="C11" s="42">
        <f>'APPENDIX A'!C93</f>
        <v>0.17463550600343053</v>
      </c>
      <c r="D11" s="42">
        <f>'TABLE 1'!$L$8</f>
        <v>6.4600000000000005E-2</v>
      </c>
      <c r="E11" s="43">
        <f t="shared" si="0"/>
        <v>0.23923550600343052</v>
      </c>
    </row>
    <row r="12" spans="1:10" x14ac:dyDescent="0.25">
      <c r="A12" s="124">
        <v>5</v>
      </c>
      <c r="B12" s="39" t="s">
        <v>128</v>
      </c>
      <c r="C12" s="42">
        <f>'APPENDIX A'!C175</f>
        <v>0.14787500000000001</v>
      </c>
      <c r="D12" s="42">
        <f>'TABLE 1'!$L$8</f>
        <v>6.4600000000000005E-2</v>
      </c>
      <c r="E12" s="43">
        <f t="shared" si="0"/>
        <v>0.21247500000000002</v>
      </c>
    </row>
    <row r="13" spans="1:10" x14ac:dyDescent="0.25">
      <c r="A13" s="124">
        <v>6</v>
      </c>
      <c r="B13" s="39" t="s">
        <v>188</v>
      </c>
      <c r="C13" s="42">
        <f>'APPENDIX A'!C282</f>
        <v>0.14701543739279588</v>
      </c>
      <c r="D13" s="42">
        <f>'TABLE 1'!$L$8</f>
        <v>6.4600000000000005E-2</v>
      </c>
      <c r="E13" s="43">
        <f t="shared" si="0"/>
        <v>0.21161543739279587</v>
      </c>
    </row>
    <row r="14" spans="1:10" x14ac:dyDescent="0.25">
      <c r="A14" s="124">
        <v>7</v>
      </c>
      <c r="B14" s="39" t="s">
        <v>58</v>
      </c>
      <c r="C14" s="42">
        <f>'APPENDIX A'!C69</f>
        <v>0.14657632933104633</v>
      </c>
      <c r="D14" s="42">
        <f>'TABLE 1'!$L$8</f>
        <v>6.4600000000000005E-2</v>
      </c>
      <c r="E14" s="43">
        <f t="shared" si="0"/>
        <v>0.21117632933104635</v>
      </c>
    </row>
    <row r="15" spans="1:10" x14ac:dyDescent="0.25">
      <c r="A15" s="124">
        <v>8</v>
      </c>
      <c r="B15" s="39" t="s">
        <v>23</v>
      </c>
      <c r="C15" s="42">
        <f>'APPENDIX A'!C30</f>
        <v>0.14313916809605487</v>
      </c>
      <c r="D15" s="42">
        <f>'TABLE 1'!$L$8</f>
        <v>6.4600000000000005E-2</v>
      </c>
      <c r="E15" s="43">
        <f t="shared" si="0"/>
        <v>0.20773916809605486</v>
      </c>
    </row>
    <row r="16" spans="1:10" x14ac:dyDescent="0.25">
      <c r="A16" s="124">
        <v>9</v>
      </c>
      <c r="B16" s="39" t="s">
        <v>185</v>
      </c>
      <c r="C16" s="42">
        <f>'APPENDIX A'!C270</f>
        <v>0.14144082332761576</v>
      </c>
      <c r="D16" s="42">
        <f>'TABLE 1'!$L$8</f>
        <v>6.4600000000000005E-2</v>
      </c>
      <c r="E16" s="43">
        <f t="shared" si="0"/>
        <v>0.20604082332761575</v>
      </c>
      <c r="J16" s="29"/>
    </row>
    <row r="17" spans="1:11" x14ac:dyDescent="0.25">
      <c r="A17" s="124">
        <v>10</v>
      </c>
      <c r="B17" s="39" t="s">
        <v>87</v>
      </c>
      <c r="C17" s="42">
        <f>'APPENDIX A'!C115</f>
        <v>0.13530993636363636</v>
      </c>
      <c r="D17" s="42">
        <f>'TABLE 1'!$L$8</f>
        <v>6.4600000000000005E-2</v>
      </c>
      <c r="E17" s="43">
        <f t="shared" si="0"/>
        <v>0.19990993636363635</v>
      </c>
      <c r="J17" s="29"/>
    </row>
    <row r="18" spans="1:11" x14ac:dyDescent="0.25">
      <c r="A18" s="124">
        <v>11</v>
      </c>
      <c r="B18" s="85" t="s">
        <v>448</v>
      </c>
      <c r="C18" s="86">
        <f>'APPENDIX A'!C275</f>
        <v>0.13446351166380791</v>
      </c>
      <c r="D18" s="42">
        <f>'TABLE 1'!$L$8</f>
        <v>6.4600000000000005E-2</v>
      </c>
      <c r="E18" s="87">
        <f t="shared" si="0"/>
        <v>0.19906351166380792</v>
      </c>
      <c r="J18" s="28"/>
    </row>
    <row r="19" spans="1:11" x14ac:dyDescent="0.25">
      <c r="A19" s="124">
        <v>12</v>
      </c>
      <c r="B19" s="39" t="s">
        <v>197</v>
      </c>
      <c r="C19" s="42">
        <f>'APPENDIX A'!C298</f>
        <v>0.13141715265866211</v>
      </c>
      <c r="D19" s="42">
        <f>'TABLE 1'!$L$8</f>
        <v>6.4600000000000005E-2</v>
      </c>
      <c r="E19" s="43">
        <f t="shared" si="0"/>
        <v>0.1960171526586621</v>
      </c>
      <c r="J19" s="29"/>
    </row>
    <row r="20" spans="1:11" x14ac:dyDescent="0.25">
      <c r="A20" s="124">
        <v>13</v>
      </c>
      <c r="B20" s="39" t="s">
        <v>215</v>
      </c>
      <c r="C20" s="42">
        <f>'APPENDIX A'!C323</f>
        <v>0.12772910806174959</v>
      </c>
      <c r="D20" s="42">
        <f>'TABLE 1'!$L$8</f>
        <v>6.4600000000000005E-2</v>
      </c>
      <c r="E20" s="43">
        <f t="shared" si="0"/>
        <v>0.19232910806174958</v>
      </c>
      <c r="J20" s="75"/>
      <c r="K20" s="74"/>
    </row>
    <row r="21" spans="1:11" x14ac:dyDescent="0.25">
      <c r="A21" s="124">
        <v>14</v>
      </c>
      <c r="B21" s="39" t="s">
        <v>10</v>
      </c>
      <c r="C21" s="42">
        <f>'APPENDIX A'!C15</f>
        <v>0.12686539965694682</v>
      </c>
      <c r="D21" s="42">
        <f>'TABLE 1'!$L$8</f>
        <v>6.4600000000000005E-2</v>
      </c>
      <c r="E21" s="43">
        <f t="shared" si="0"/>
        <v>0.19146539965694681</v>
      </c>
    </row>
    <row r="22" spans="1:11" x14ac:dyDescent="0.25">
      <c r="A22" s="124">
        <v>15</v>
      </c>
      <c r="B22" s="39" t="s">
        <v>110</v>
      </c>
      <c r="C22" s="42">
        <f>'APPENDIX A'!C145</f>
        <v>0.12668096054888509</v>
      </c>
      <c r="D22" s="42">
        <f>'TABLE 1'!$L$8</f>
        <v>6.4600000000000005E-2</v>
      </c>
      <c r="E22" s="43">
        <f t="shared" si="0"/>
        <v>0.1912809605488851</v>
      </c>
      <c r="J22" s="29"/>
    </row>
    <row r="23" spans="1:11" x14ac:dyDescent="0.25">
      <c r="A23" s="124">
        <v>16</v>
      </c>
      <c r="B23" s="39" t="s">
        <v>171</v>
      </c>
      <c r="C23" s="42">
        <f>'APPENDIX A'!C242</f>
        <v>0.12265866209262435</v>
      </c>
      <c r="D23" s="42">
        <f>'TABLE 1'!$L$8</f>
        <v>6.4600000000000005E-2</v>
      </c>
      <c r="E23" s="43">
        <f t="shared" si="0"/>
        <v>0.18725866209262437</v>
      </c>
      <c r="J23" s="29"/>
    </row>
    <row r="24" spans="1:11" x14ac:dyDescent="0.25">
      <c r="A24" s="124">
        <v>17</v>
      </c>
      <c r="B24" s="39" t="s">
        <v>205</v>
      </c>
      <c r="C24" s="42">
        <f>'APPENDIX A'!C304</f>
        <v>0.1198713550600343</v>
      </c>
      <c r="D24" s="42">
        <f>'TABLE 1'!$L$8</f>
        <v>6.4600000000000005E-2</v>
      </c>
      <c r="E24" s="43">
        <f t="shared" si="0"/>
        <v>0.18447135506003431</v>
      </c>
      <c r="J24" s="29"/>
    </row>
    <row r="25" spans="1:11" x14ac:dyDescent="0.25">
      <c r="A25" s="124">
        <v>18</v>
      </c>
      <c r="B25" s="39" t="s">
        <v>16</v>
      </c>
      <c r="C25" s="42">
        <f>'APPENDIX A'!C22</f>
        <v>0.11978816466552315</v>
      </c>
      <c r="D25" s="42">
        <f>'TABLE 1'!$L$8</f>
        <v>6.4600000000000005E-2</v>
      </c>
      <c r="E25" s="43">
        <f t="shared" si="0"/>
        <v>0.18438816466552316</v>
      </c>
      <c r="J25" s="29"/>
    </row>
    <row r="26" spans="1:11" x14ac:dyDescent="0.25">
      <c r="A26" s="124">
        <v>19</v>
      </c>
      <c r="B26" s="39" t="s">
        <v>260</v>
      </c>
      <c r="C26" s="42">
        <f>'APPENDIX A'!C63</f>
        <v>0.11629502572898801</v>
      </c>
      <c r="D26" s="42">
        <f>'TABLE 1'!$L$8</f>
        <v>6.4600000000000005E-2</v>
      </c>
      <c r="E26" s="43">
        <f t="shared" si="0"/>
        <v>0.18089502572898802</v>
      </c>
      <c r="J26" s="75"/>
      <c r="K26" s="74"/>
    </row>
    <row r="27" spans="1:11" x14ac:dyDescent="0.25">
      <c r="A27" s="124">
        <v>20</v>
      </c>
      <c r="B27" s="39" t="s">
        <v>31</v>
      </c>
      <c r="C27" s="42">
        <f>'APPENDIX A'!C41</f>
        <v>0.11600395999999999</v>
      </c>
      <c r="D27" s="42">
        <f>'TABLE 1'!$L$8</f>
        <v>6.4600000000000005E-2</v>
      </c>
      <c r="E27" s="43">
        <f t="shared" si="0"/>
        <v>0.18060396000000001</v>
      </c>
    </row>
    <row r="28" spans="1:11" x14ac:dyDescent="0.25">
      <c r="A28" s="124">
        <v>21</v>
      </c>
      <c r="B28" s="39" t="s">
        <v>259</v>
      </c>
      <c r="C28" s="42">
        <f>'APPENDIX A'!C312</f>
        <v>0.11526386106346484</v>
      </c>
      <c r="D28" s="42">
        <f>'TABLE 1'!$L$8</f>
        <v>6.4600000000000005E-2</v>
      </c>
      <c r="E28" s="43">
        <f t="shared" si="0"/>
        <v>0.17986386106346486</v>
      </c>
    </row>
    <row r="29" spans="1:11" x14ac:dyDescent="0.25">
      <c r="A29" s="124">
        <v>22</v>
      </c>
      <c r="B29" s="39" t="s">
        <v>152</v>
      </c>
      <c r="C29" s="42">
        <f>'APPENDIX A'!C215</f>
        <v>0.11216101989708403</v>
      </c>
      <c r="D29" s="42">
        <f>'TABLE 1'!$L$8</f>
        <v>6.4600000000000005E-2</v>
      </c>
      <c r="E29" s="43">
        <f t="shared" si="0"/>
        <v>0.17676101989708404</v>
      </c>
    </row>
    <row r="30" spans="1:11" x14ac:dyDescent="0.25">
      <c r="A30" s="124">
        <v>23</v>
      </c>
      <c r="B30" s="39" t="s">
        <v>78</v>
      </c>
      <c r="C30" s="42">
        <f>'APPENDIX A'!C101</f>
        <v>0.11055062332761578</v>
      </c>
      <c r="D30" s="42">
        <f>'TABLE 1'!$L$8</f>
        <v>6.4600000000000005E-2</v>
      </c>
      <c r="E30" s="43">
        <f t="shared" si="0"/>
        <v>0.17515062332761577</v>
      </c>
    </row>
    <row r="31" spans="1:11" x14ac:dyDescent="0.25">
      <c r="A31" s="124">
        <v>24</v>
      </c>
      <c r="B31" s="39" t="s">
        <v>178</v>
      </c>
      <c r="C31" s="42">
        <f>'APPENDIX A'!C256</f>
        <v>0.10876681166380789</v>
      </c>
      <c r="D31" s="42">
        <f>'TABLE 1'!$L$8</f>
        <v>6.4600000000000005E-2</v>
      </c>
      <c r="E31" s="43">
        <f t="shared" si="0"/>
        <v>0.17336681166380791</v>
      </c>
    </row>
    <row r="32" spans="1:11" x14ac:dyDescent="0.25">
      <c r="A32" s="124">
        <v>25</v>
      </c>
      <c r="B32" s="39" t="s">
        <v>42</v>
      </c>
      <c r="C32" s="42">
        <f>'APPENDIX A'!C48</f>
        <v>0.10776257632933103</v>
      </c>
      <c r="D32" s="42">
        <f>'TABLE 1'!$L$8</f>
        <v>6.4600000000000005E-2</v>
      </c>
      <c r="E32" s="43">
        <f t="shared" si="0"/>
        <v>0.17236257632933105</v>
      </c>
    </row>
    <row r="33" spans="1:5" x14ac:dyDescent="0.25">
      <c r="A33" s="124">
        <v>26</v>
      </c>
      <c r="B33" s="39" t="s">
        <v>194</v>
      </c>
      <c r="C33" s="42">
        <f>'APPENDIX A'!C289</f>
        <v>0.10579331046312176</v>
      </c>
      <c r="D33" s="42">
        <f>'TABLE 1'!$L$8</f>
        <v>6.4600000000000005E-2</v>
      </c>
      <c r="E33" s="43">
        <f t="shared" si="0"/>
        <v>0.17039331046312178</v>
      </c>
    </row>
    <row r="34" spans="1:5" x14ac:dyDescent="0.25">
      <c r="A34" s="124">
        <v>27</v>
      </c>
      <c r="B34" s="39" t="s">
        <v>91</v>
      </c>
      <c r="C34" s="42">
        <f>'APPENDIX A'!C124</f>
        <v>0.10558147512864494</v>
      </c>
      <c r="D34" s="42">
        <f>'TABLE 1'!$L$8</f>
        <v>6.4600000000000005E-2</v>
      </c>
      <c r="E34" s="43">
        <f t="shared" si="0"/>
        <v>0.17018147512864495</v>
      </c>
    </row>
    <row r="35" spans="1:5" x14ac:dyDescent="0.25">
      <c r="A35" s="124">
        <v>28</v>
      </c>
      <c r="B35" s="39" t="s">
        <v>5</v>
      </c>
      <c r="C35" s="42">
        <f>'APPENDIX A'!C9</f>
        <v>9.7521440823327615E-2</v>
      </c>
      <c r="D35" s="42">
        <f>'TABLE 1'!$L$8</f>
        <v>6.4600000000000005E-2</v>
      </c>
      <c r="E35" s="43">
        <f t="shared" si="0"/>
        <v>0.16212144082332763</v>
      </c>
    </row>
    <row r="36" spans="1:5" x14ac:dyDescent="0.25">
      <c r="A36" s="124">
        <v>29</v>
      </c>
      <c r="B36" s="39" t="s">
        <v>122</v>
      </c>
      <c r="C36" s="42">
        <f>'APPENDIX A'!C164</f>
        <v>9.5439108061749586E-2</v>
      </c>
      <c r="D36" s="42">
        <f>'TABLE 1'!$L$8</f>
        <v>6.4600000000000005E-2</v>
      </c>
      <c r="E36" s="43">
        <f t="shared" si="0"/>
        <v>0.16003910806174959</v>
      </c>
    </row>
    <row r="37" spans="1:5" x14ac:dyDescent="0.25">
      <c r="A37" s="124">
        <v>30</v>
      </c>
      <c r="B37" s="39" t="s">
        <v>63</v>
      </c>
      <c r="C37" s="42">
        <f>'APPENDIX A'!C75</f>
        <v>9.2195540308747853E-2</v>
      </c>
      <c r="D37" s="42">
        <f>'TABLE 1'!$L$8</f>
        <v>6.4600000000000005E-2</v>
      </c>
      <c r="E37" s="43">
        <f t="shared" si="0"/>
        <v>0.15679554030874787</v>
      </c>
    </row>
    <row r="38" spans="1:5" x14ac:dyDescent="0.25">
      <c r="A38" s="124">
        <v>31</v>
      </c>
      <c r="B38" s="39" t="s">
        <v>126</v>
      </c>
      <c r="C38" s="42">
        <f>'APPENDIX A'!C169</f>
        <v>9.1440823327615786E-2</v>
      </c>
      <c r="D38" s="42">
        <f>'TABLE 1'!$L$8</f>
        <v>6.4600000000000005E-2</v>
      </c>
      <c r="E38" s="43">
        <f t="shared" si="0"/>
        <v>0.15604082332761579</v>
      </c>
    </row>
    <row r="39" spans="1:5" x14ac:dyDescent="0.25">
      <c r="A39" s="124">
        <v>32</v>
      </c>
      <c r="B39" s="39" t="s">
        <v>115</v>
      </c>
      <c r="C39" s="42">
        <f>'APPENDIX A'!C150</f>
        <v>8.9301029159519721E-2</v>
      </c>
      <c r="D39" s="42">
        <f>'TABLE 1'!$L$8</f>
        <v>6.4600000000000005E-2</v>
      </c>
      <c r="E39" s="43">
        <f t="shared" si="0"/>
        <v>0.15390102915951973</v>
      </c>
    </row>
    <row r="40" spans="1:5" x14ac:dyDescent="0.25">
      <c r="A40" s="124">
        <v>33</v>
      </c>
      <c r="B40" s="39" t="s">
        <v>151</v>
      </c>
      <c r="C40" s="42">
        <f>'APPENDIX A'!C207</f>
        <v>8.9296740994854212E-2</v>
      </c>
      <c r="D40" s="42">
        <f>'TABLE 1'!$L$8</f>
        <v>6.4600000000000005E-2</v>
      </c>
      <c r="E40" s="43">
        <f t="shared" ref="E40:E59" si="1">C40+D40</f>
        <v>0.15389674099485423</v>
      </c>
    </row>
    <row r="41" spans="1:5" x14ac:dyDescent="0.25">
      <c r="A41" s="124">
        <v>34</v>
      </c>
      <c r="B41" s="39" t="s">
        <v>82</v>
      </c>
      <c r="C41" s="42">
        <f>'APPENDIX A'!C108</f>
        <v>8.7084048027444252E-2</v>
      </c>
      <c r="D41" s="42">
        <f>'TABLE 1'!$L$8</f>
        <v>6.4600000000000005E-2</v>
      </c>
      <c r="E41" s="43">
        <f t="shared" si="1"/>
        <v>0.15168404802744426</v>
      </c>
    </row>
    <row r="42" spans="1:5" x14ac:dyDescent="0.25">
      <c r="A42" s="124">
        <v>35</v>
      </c>
      <c r="B42" s="39" t="s">
        <v>168</v>
      </c>
      <c r="C42" s="42">
        <f>'APPENDIX A'!C234</f>
        <v>8.5866209262435683E-2</v>
      </c>
      <c r="D42" s="42">
        <f>'TABLE 1'!$L$8</f>
        <v>6.4600000000000005E-2</v>
      </c>
      <c r="E42" s="43">
        <f t="shared" si="1"/>
        <v>0.1504662092624357</v>
      </c>
    </row>
    <row r="43" spans="1:5" s="4" customFormat="1" ht="15" customHeight="1" x14ac:dyDescent="0.25">
      <c r="A43" s="125">
        <v>36</v>
      </c>
      <c r="B43" s="39" t="s">
        <v>261</v>
      </c>
      <c r="C43" s="42">
        <f>'APPENDIX A'!C329</f>
        <v>8.5000000000000006E-2</v>
      </c>
      <c r="D43" s="42">
        <f>'TABLE 1'!$L$8</f>
        <v>6.4600000000000005E-2</v>
      </c>
      <c r="E43" s="43">
        <f t="shared" si="1"/>
        <v>0.14960000000000001</v>
      </c>
    </row>
    <row r="44" spans="1:5" x14ac:dyDescent="0.25">
      <c r="A44" s="124">
        <v>37</v>
      </c>
      <c r="B44" s="39" t="s">
        <v>174</v>
      </c>
      <c r="C44" s="42">
        <f>'APPENDIX A'!C249</f>
        <v>8.4160205831903936E-2</v>
      </c>
      <c r="D44" s="42">
        <f>'TABLE 1'!$L$8</f>
        <v>6.4600000000000005E-2</v>
      </c>
      <c r="E44" s="43">
        <f t="shared" si="1"/>
        <v>0.14876020583190394</v>
      </c>
    </row>
    <row r="45" spans="1:5" x14ac:dyDescent="0.25">
      <c r="A45" s="124">
        <v>37</v>
      </c>
      <c r="B45" s="39" t="s">
        <v>118</v>
      </c>
      <c r="C45" s="42">
        <f>'APPENDIX A'!C157</f>
        <v>8.282351217838764E-2</v>
      </c>
      <c r="D45" s="42">
        <f>'TABLE 1'!$L$8</f>
        <v>6.4600000000000005E-2</v>
      </c>
      <c r="E45" s="43">
        <f t="shared" si="1"/>
        <v>0.14742351217838764</v>
      </c>
    </row>
    <row r="46" spans="1:5" x14ac:dyDescent="0.25">
      <c r="A46" s="124">
        <v>39</v>
      </c>
      <c r="B46" s="39" t="s">
        <v>148</v>
      </c>
      <c r="C46" s="42">
        <f>'APPENDIX A'!C202</f>
        <v>8.2221269296741006E-2</v>
      </c>
      <c r="D46" s="42">
        <f>'TABLE 1'!$L$8</f>
        <v>6.4600000000000005E-2</v>
      </c>
      <c r="E46" s="43">
        <f t="shared" si="1"/>
        <v>0.146821269296741</v>
      </c>
    </row>
    <row r="47" spans="1:5" x14ac:dyDescent="0.25">
      <c r="A47" s="124">
        <v>40</v>
      </c>
      <c r="B47" s="39" t="s">
        <v>237</v>
      </c>
      <c r="C47" s="42">
        <f>'APPENDIX A'!C362</f>
        <v>7.9486250428816477E-2</v>
      </c>
      <c r="D47" s="42">
        <f>'TABLE 1'!$L$8</f>
        <v>6.4600000000000005E-2</v>
      </c>
      <c r="E47" s="43">
        <f t="shared" si="1"/>
        <v>0.14408625042881648</v>
      </c>
    </row>
    <row r="48" spans="1:5" x14ac:dyDescent="0.25">
      <c r="A48" s="124">
        <v>41</v>
      </c>
      <c r="B48" s="39" t="s">
        <v>68</v>
      </c>
      <c r="C48" s="42">
        <f>'APPENDIX A'!C82</f>
        <v>7.614594339622642E-2</v>
      </c>
      <c r="D48" s="42">
        <f>'TABLE 1'!$L$8</f>
        <v>6.4600000000000005E-2</v>
      </c>
      <c r="E48" s="43">
        <f t="shared" si="1"/>
        <v>0.14074594339622643</v>
      </c>
    </row>
    <row r="49" spans="1:5" x14ac:dyDescent="0.25">
      <c r="A49" s="124">
        <v>42</v>
      </c>
      <c r="B49" s="39" t="s">
        <v>48</v>
      </c>
      <c r="C49" s="42">
        <f>'APPENDIX A'!C53</f>
        <v>7.4434819897084045E-2</v>
      </c>
      <c r="D49" s="42">
        <f>'TABLE 1'!$L$8</f>
        <v>6.4600000000000005E-2</v>
      </c>
      <c r="E49" s="43">
        <f t="shared" si="1"/>
        <v>0.13903481989708405</v>
      </c>
    </row>
    <row r="50" spans="1:5" x14ac:dyDescent="0.25">
      <c r="A50" s="124">
        <v>43</v>
      </c>
      <c r="B50" s="39" t="s">
        <v>104</v>
      </c>
      <c r="C50" s="42">
        <f>'APPENDIX A'!C137</f>
        <v>7.3549270497427113E-2</v>
      </c>
      <c r="D50" s="42">
        <f>'TABLE 1'!$L$8</f>
        <v>6.4600000000000005E-2</v>
      </c>
      <c r="E50" s="43">
        <f t="shared" si="1"/>
        <v>0.13814927049742712</v>
      </c>
    </row>
    <row r="51" spans="1:5" x14ac:dyDescent="0.25">
      <c r="A51" s="124">
        <v>44</v>
      </c>
      <c r="B51" s="39" t="s">
        <v>100</v>
      </c>
      <c r="C51" s="42">
        <f>'APPENDIX A'!C130</f>
        <v>7.2881646655231558E-2</v>
      </c>
      <c r="D51" s="42">
        <f>'TABLE 1'!$L$8</f>
        <v>6.4600000000000005E-2</v>
      </c>
      <c r="E51" s="43">
        <f t="shared" si="1"/>
        <v>0.13748164665523155</v>
      </c>
    </row>
    <row r="52" spans="1:5" x14ac:dyDescent="0.25">
      <c r="A52" s="124">
        <v>45</v>
      </c>
      <c r="B52" s="39" t="s">
        <v>233</v>
      </c>
      <c r="C52" s="42">
        <f>'APPENDIX A'!C354</f>
        <v>7.1743968795711835E-2</v>
      </c>
      <c r="D52" s="42">
        <f>'TABLE 1'!$L$8</f>
        <v>6.4600000000000005E-2</v>
      </c>
      <c r="E52" s="43">
        <f t="shared" si="1"/>
        <v>0.13634396879571184</v>
      </c>
    </row>
    <row r="53" spans="1:5" x14ac:dyDescent="0.25">
      <c r="A53" s="124">
        <v>46</v>
      </c>
      <c r="B53" s="39" t="s">
        <v>225</v>
      </c>
      <c r="C53" s="42">
        <f>'APPENDIX A'!C334</f>
        <v>6.6080617495711841E-2</v>
      </c>
      <c r="D53" s="42">
        <f>'TABLE 1'!$L$8</f>
        <v>6.4600000000000005E-2</v>
      </c>
      <c r="E53" s="43">
        <f t="shared" si="1"/>
        <v>0.13068061749571186</v>
      </c>
    </row>
    <row r="54" spans="1:5" x14ac:dyDescent="0.25">
      <c r="A54" s="124">
        <v>47</v>
      </c>
      <c r="B54" s="39" t="s">
        <v>231</v>
      </c>
      <c r="C54" s="42">
        <f>'APPENDIX A'!C346</f>
        <v>6.4322469982847338E-2</v>
      </c>
      <c r="D54" s="42">
        <f>'TABLE 1'!$L$8</f>
        <v>6.4600000000000005E-2</v>
      </c>
      <c r="E54" s="43">
        <f t="shared" si="1"/>
        <v>0.12892246998284734</v>
      </c>
    </row>
    <row r="55" spans="1:5" x14ac:dyDescent="0.25">
      <c r="A55" s="124">
        <v>48</v>
      </c>
      <c r="B55" s="39" t="s">
        <v>49</v>
      </c>
      <c r="C55" s="42">
        <f>'APPENDIX A'!C58</f>
        <v>6.2864493996569473E-2</v>
      </c>
      <c r="D55" s="42">
        <f>'TABLE 1'!$L$8</f>
        <v>6.4600000000000005E-2</v>
      </c>
      <c r="E55" s="43">
        <f t="shared" si="1"/>
        <v>0.12746449399656948</v>
      </c>
    </row>
    <row r="56" spans="1:5" x14ac:dyDescent="0.25">
      <c r="A56" s="124">
        <v>49</v>
      </c>
      <c r="B56" s="39" t="s">
        <v>131</v>
      </c>
      <c r="C56" s="42">
        <f>'APPENDIX A'!C181</f>
        <v>6.1084905660377359E-2</v>
      </c>
      <c r="D56" s="42">
        <f>'TABLE 1'!$L$8</f>
        <v>6.4600000000000005E-2</v>
      </c>
      <c r="E56" s="43">
        <f t="shared" si="1"/>
        <v>0.12568490566037738</v>
      </c>
    </row>
    <row r="57" spans="1:5" x14ac:dyDescent="0.25">
      <c r="A57" s="124">
        <v>50</v>
      </c>
      <c r="B57" s="39" t="s">
        <v>72</v>
      </c>
      <c r="C57" s="42">
        <f>'APPENDIX A'!C87</f>
        <v>2.1655231560891938E-2</v>
      </c>
      <c r="D57" s="42">
        <f>'TABLE 1'!$L$8</f>
        <v>6.4600000000000005E-2</v>
      </c>
      <c r="E57" s="43">
        <f t="shared" si="1"/>
        <v>8.6255231560891946E-2</v>
      </c>
    </row>
    <row r="58" spans="1:5" x14ac:dyDescent="0.25">
      <c r="A58" s="124">
        <v>51</v>
      </c>
      <c r="B58" s="39" t="s">
        <v>143</v>
      </c>
      <c r="C58" s="42">
        <f>'APPENDIX A'!C197</f>
        <v>1.9466845111492284E-2</v>
      </c>
      <c r="D58" s="42">
        <f>'TABLE 1'!$L$8</f>
        <v>6.4600000000000005E-2</v>
      </c>
      <c r="E58" s="43">
        <f t="shared" si="1"/>
        <v>8.4066845111492289E-2</v>
      </c>
    </row>
    <row r="59" spans="1:5" x14ac:dyDescent="0.25">
      <c r="A59" s="124">
        <v>52</v>
      </c>
      <c r="B59" s="39" t="s">
        <v>181</v>
      </c>
      <c r="C59" s="42">
        <f>'APPENDIX A'!C262</f>
        <v>1.8010291595197254E-2</v>
      </c>
      <c r="D59" s="42">
        <f>'TABLE 1'!$L$8</f>
        <v>6.4600000000000005E-2</v>
      </c>
      <c r="E59" s="43">
        <f t="shared" si="1"/>
        <v>8.2610291595197255E-2</v>
      </c>
    </row>
    <row r="61" spans="1:5" x14ac:dyDescent="0.25">
      <c r="B61" s="44" t="s">
        <v>277</v>
      </c>
      <c r="C61" s="45">
        <f>Stats!C58</f>
        <v>0.11500574568331763</v>
      </c>
      <c r="D61" s="45">
        <f>D59</f>
        <v>6.4600000000000005E-2</v>
      </c>
      <c r="E61" s="45">
        <f>C61+D61</f>
        <v>0.17960574568331764</v>
      </c>
    </row>
    <row r="62" spans="1:5" x14ac:dyDescent="0.25">
      <c r="B62" s="40"/>
      <c r="C62" s="41"/>
      <c r="D62" s="41"/>
      <c r="E62" s="41"/>
    </row>
    <row r="63" spans="1:5" x14ac:dyDescent="0.25">
      <c r="B63" s="39" t="s">
        <v>278</v>
      </c>
      <c r="C63" s="43">
        <f>SUM(C8:C59)/52</f>
        <v>0.104208826408098</v>
      </c>
      <c r="D63" s="46">
        <f>D61</f>
        <v>6.4600000000000005E-2</v>
      </c>
      <c r="E63" s="46">
        <f>C63+D63</f>
        <v>0.16880882640809802</v>
      </c>
    </row>
    <row r="65" spans="1:6" ht="38.25" customHeight="1" x14ac:dyDescent="0.25">
      <c r="A65" s="131" t="s">
        <v>475</v>
      </c>
      <c r="B65" s="131"/>
      <c r="C65" s="131"/>
      <c r="D65" s="131"/>
      <c r="E65" s="131"/>
      <c r="F65" s="131"/>
    </row>
  </sheetData>
  <sortState ref="B8:E59">
    <sortCondition descending="1" ref="C8:C59"/>
  </sortState>
  <mergeCells count="3">
    <mergeCell ref="A65:F65"/>
    <mergeCell ref="A1:E1"/>
    <mergeCell ref="A2:E2"/>
  </mergeCells>
  <printOptions gridLines="1"/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opLeftCell="A31" workbookViewId="0">
      <selection activeCell="H11" sqref="H11"/>
    </sheetView>
  </sheetViews>
  <sheetFormatPr defaultRowHeight="15" x14ac:dyDescent="0.25"/>
  <cols>
    <col min="1" max="1" width="28" customWidth="1"/>
    <col min="2" max="2" width="12.42578125" style="123" customWidth="1"/>
    <col min="3" max="3" width="12.5703125" style="123" customWidth="1"/>
    <col min="4" max="4" width="18.42578125" style="123" customWidth="1"/>
    <col min="5" max="5" width="12.7109375" customWidth="1"/>
  </cols>
  <sheetData>
    <row r="1" spans="1:5" x14ac:dyDescent="0.25">
      <c r="A1" s="132" t="s">
        <v>350</v>
      </c>
      <c r="B1" s="132"/>
      <c r="C1" s="132"/>
      <c r="D1" s="132"/>
    </row>
    <row r="2" spans="1:5" x14ac:dyDescent="0.25">
      <c r="A2" s="132" t="s">
        <v>511</v>
      </c>
      <c r="B2" s="132"/>
      <c r="C2" s="132"/>
      <c r="D2" s="132"/>
    </row>
    <row r="5" spans="1:5" x14ac:dyDescent="0.25">
      <c r="D5" s="123" t="s">
        <v>273</v>
      </c>
    </row>
    <row r="6" spans="1:5" x14ac:dyDescent="0.25">
      <c r="B6" s="123" t="s">
        <v>349</v>
      </c>
      <c r="C6" s="123" t="s">
        <v>273</v>
      </c>
      <c r="D6" s="123" t="s">
        <v>514</v>
      </c>
      <c r="E6" s="128" t="s">
        <v>538</v>
      </c>
    </row>
    <row r="7" spans="1:5" x14ac:dyDescent="0.25">
      <c r="B7" s="76" t="s">
        <v>348</v>
      </c>
      <c r="C7" s="76" t="s">
        <v>348</v>
      </c>
      <c r="D7" s="76" t="s">
        <v>255</v>
      </c>
      <c r="E7" s="76" t="s">
        <v>540</v>
      </c>
    </row>
    <row r="8" spans="1:5" x14ac:dyDescent="0.25">
      <c r="A8" t="s">
        <v>137</v>
      </c>
      <c r="B8" s="23">
        <v>7.0000000000000007E-2</v>
      </c>
      <c r="C8" s="23">
        <v>0.18525709519725556</v>
      </c>
      <c r="D8" s="23">
        <v>0.11525709519725555</v>
      </c>
      <c r="E8" s="48">
        <f>C8/B8</f>
        <v>2.6465299313893649</v>
      </c>
    </row>
    <row r="9" spans="1:5" x14ac:dyDescent="0.25">
      <c r="A9" t="s">
        <v>10</v>
      </c>
      <c r="B9" s="23">
        <v>2.5000000000000001E-2</v>
      </c>
      <c r="C9" s="23">
        <v>0.12686539965694682</v>
      </c>
      <c r="D9" s="23">
        <v>0.10186539965694683</v>
      </c>
      <c r="E9" s="48">
        <f t="shared" ref="E9:E59" si="0">C9/B9</f>
        <v>5.0746159862778724</v>
      </c>
    </row>
    <row r="10" spans="1:5" x14ac:dyDescent="0.25">
      <c r="A10" t="s">
        <v>227</v>
      </c>
      <c r="B10" s="23">
        <v>9.1499999999999998E-2</v>
      </c>
      <c r="C10" s="23">
        <v>0.18686878216123498</v>
      </c>
      <c r="D10" s="23">
        <v>9.5368782161234983E-2</v>
      </c>
      <c r="E10" s="48">
        <f t="shared" si="0"/>
        <v>2.0422817722539341</v>
      </c>
    </row>
    <row r="11" spans="1:5" x14ac:dyDescent="0.25">
      <c r="A11" t="s">
        <v>156</v>
      </c>
      <c r="B11" s="23">
        <v>8.4400000000000003E-2</v>
      </c>
      <c r="C11" s="23">
        <v>0.17901123499142368</v>
      </c>
      <c r="D11" s="23">
        <v>9.4611234991423682E-2</v>
      </c>
      <c r="E11" s="48">
        <f t="shared" si="0"/>
        <v>2.1209861965808492</v>
      </c>
    </row>
    <row r="12" spans="1:5" x14ac:dyDescent="0.25">
      <c r="A12" t="s">
        <v>74</v>
      </c>
      <c r="B12" s="23">
        <v>8.8749999999999996E-2</v>
      </c>
      <c r="C12" s="23">
        <v>0.17463550600343053</v>
      </c>
      <c r="D12" s="23">
        <v>8.5885506003430534E-2</v>
      </c>
      <c r="E12" s="48">
        <f t="shared" si="0"/>
        <v>1.9677240113062595</v>
      </c>
    </row>
    <row r="13" spans="1:5" x14ac:dyDescent="0.25">
      <c r="A13" t="s">
        <v>148</v>
      </c>
      <c r="B13" s="23">
        <v>0</v>
      </c>
      <c r="C13" s="23">
        <v>8.2221269296741006E-2</v>
      </c>
      <c r="D13" s="23">
        <v>8.2221269296741006E-2</v>
      </c>
      <c r="E13" s="48" t="s">
        <v>539</v>
      </c>
    </row>
    <row r="14" spans="1:5" x14ac:dyDescent="0.25">
      <c r="A14" t="s">
        <v>188</v>
      </c>
      <c r="B14" s="23">
        <v>7.0000000000000007E-2</v>
      </c>
      <c r="C14" s="23">
        <v>0.14701543739279588</v>
      </c>
      <c r="D14" s="23">
        <v>7.7015437392795871E-2</v>
      </c>
      <c r="E14" s="48">
        <f t="shared" si="0"/>
        <v>2.1002205341827982</v>
      </c>
    </row>
    <row r="15" spans="1:5" x14ac:dyDescent="0.25">
      <c r="A15" t="s">
        <v>58</v>
      </c>
      <c r="B15" s="23">
        <v>7.2499999999999995E-2</v>
      </c>
      <c r="C15" s="23">
        <v>0.14657632933104633</v>
      </c>
      <c r="D15" s="23">
        <v>7.4076329331046339E-2</v>
      </c>
      <c r="E15" s="48">
        <f t="shared" si="0"/>
        <v>2.0217424735316736</v>
      </c>
    </row>
    <row r="16" spans="1:5" x14ac:dyDescent="0.25">
      <c r="A16" t="s">
        <v>185</v>
      </c>
      <c r="B16" s="23">
        <v>7.0000000000000007E-2</v>
      </c>
      <c r="C16" s="23">
        <v>0.14144082332761576</v>
      </c>
      <c r="D16" s="23">
        <v>7.1440823327615754E-2</v>
      </c>
      <c r="E16" s="48">
        <f t="shared" si="0"/>
        <v>2.0205831903945106</v>
      </c>
    </row>
    <row r="17" spans="1:5" x14ac:dyDescent="0.25">
      <c r="A17" t="s">
        <v>197</v>
      </c>
      <c r="B17" s="23">
        <v>0.06</v>
      </c>
      <c r="C17" s="23">
        <v>0.13141715265866211</v>
      </c>
      <c r="D17" s="23">
        <v>7.1417152658662109E-2</v>
      </c>
      <c r="E17" s="48">
        <f t="shared" si="0"/>
        <v>2.1902858776443686</v>
      </c>
    </row>
    <row r="18" spans="1:5" x14ac:dyDescent="0.25">
      <c r="A18" t="s">
        <v>110</v>
      </c>
      <c r="B18" s="23">
        <v>0.06</v>
      </c>
      <c r="C18" s="23">
        <v>0.12668096054888509</v>
      </c>
      <c r="D18" s="23">
        <v>6.6680960548885088E-2</v>
      </c>
      <c r="E18" s="48">
        <f t="shared" si="0"/>
        <v>2.111349342481418</v>
      </c>
    </row>
    <row r="19" spans="1:5" x14ac:dyDescent="0.25">
      <c r="A19" t="s">
        <v>128</v>
      </c>
      <c r="B19" s="23">
        <v>8.2900000000000001E-2</v>
      </c>
      <c r="C19" s="23">
        <v>0.14787500000000001</v>
      </c>
      <c r="D19" s="23">
        <v>6.4975000000000005E-2</v>
      </c>
      <c r="E19" s="48">
        <f t="shared" si="0"/>
        <v>1.7837756332931243</v>
      </c>
    </row>
    <row r="20" spans="1:5" x14ac:dyDescent="0.25">
      <c r="A20" t="s">
        <v>49</v>
      </c>
      <c r="B20" s="23">
        <v>0</v>
      </c>
      <c r="C20" s="23">
        <v>6.2864493996569473E-2</v>
      </c>
      <c r="D20" s="23">
        <v>6.2864493996569473E-2</v>
      </c>
      <c r="E20" s="48" t="s">
        <v>539</v>
      </c>
    </row>
    <row r="21" spans="1:5" x14ac:dyDescent="0.25">
      <c r="A21" t="s">
        <v>131</v>
      </c>
      <c r="B21" s="23">
        <v>0</v>
      </c>
      <c r="C21" s="23">
        <v>6.1084905660377359E-2</v>
      </c>
      <c r="D21" s="23">
        <v>6.1084905660377359E-2</v>
      </c>
      <c r="E21" s="48" t="s">
        <v>539</v>
      </c>
    </row>
    <row r="22" spans="1:5" x14ac:dyDescent="0.25">
      <c r="A22" t="s">
        <v>215</v>
      </c>
      <c r="B22" s="23">
        <v>6.8000000000000005E-2</v>
      </c>
      <c r="C22" s="23">
        <v>0.12772910806174959</v>
      </c>
      <c r="D22" s="23">
        <v>5.9729108061749581E-2</v>
      </c>
      <c r="E22" s="48">
        <f t="shared" si="0"/>
        <v>1.8783692362021998</v>
      </c>
    </row>
    <row r="23" spans="1:5" x14ac:dyDescent="0.25">
      <c r="A23" t="s">
        <v>260</v>
      </c>
      <c r="B23" s="23">
        <v>5.7500000000000002E-2</v>
      </c>
      <c r="C23" s="23">
        <v>0.11629502572898801</v>
      </c>
      <c r="D23" s="23">
        <v>5.8795025728988003E-2</v>
      </c>
      <c r="E23" s="48">
        <f t="shared" si="0"/>
        <v>2.0225221865910958</v>
      </c>
    </row>
    <row r="24" spans="1:5" x14ac:dyDescent="0.25">
      <c r="A24" t="s">
        <v>171</v>
      </c>
      <c r="B24" s="23">
        <v>7.0000000000000007E-2</v>
      </c>
      <c r="C24" s="23">
        <v>0.12265866209262435</v>
      </c>
      <c r="D24" s="23">
        <v>5.2658662092624348E-2</v>
      </c>
      <c r="E24" s="48">
        <f t="shared" si="0"/>
        <v>1.7522666013232049</v>
      </c>
    </row>
    <row r="25" spans="1:5" x14ac:dyDescent="0.25">
      <c r="A25" t="s">
        <v>87</v>
      </c>
      <c r="B25" s="23">
        <v>8.3300000000000013E-2</v>
      </c>
      <c r="C25" s="23">
        <v>0.13530993636363636</v>
      </c>
      <c r="D25" s="23">
        <v>5.200993636363635E-2</v>
      </c>
      <c r="E25" s="48">
        <f t="shared" si="0"/>
        <v>1.6243689839572191</v>
      </c>
    </row>
    <row r="26" spans="1:5" x14ac:dyDescent="0.25">
      <c r="A26" t="s">
        <v>23</v>
      </c>
      <c r="B26" s="23">
        <v>9.375E-2</v>
      </c>
      <c r="C26" s="23">
        <v>0.14313916809605487</v>
      </c>
      <c r="D26" s="23">
        <v>4.938916809605487E-2</v>
      </c>
      <c r="E26" s="48">
        <f t="shared" si="0"/>
        <v>1.5268177930245852</v>
      </c>
    </row>
    <row r="27" spans="1:5" x14ac:dyDescent="0.25">
      <c r="A27" t="s">
        <v>91</v>
      </c>
      <c r="B27" s="23">
        <v>0.06</v>
      </c>
      <c r="C27" s="23">
        <v>0.10558147512864494</v>
      </c>
      <c r="D27" s="23">
        <v>4.5581475128644938E-2</v>
      </c>
      <c r="E27" s="48">
        <f t="shared" si="0"/>
        <v>1.7596912521440824</v>
      </c>
    </row>
    <row r="28" spans="1:5" x14ac:dyDescent="0.25">
      <c r="A28" t="s">
        <v>78</v>
      </c>
      <c r="B28" s="23">
        <v>7.0000000000000007E-2</v>
      </c>
      <c r="C28" s="23">
        <v>0.11055062332761578</v>
      </c>
      <c r="D28" s="23">
        <v>4.0550623327615776E-2</v>
      </c>
      <c r="E28" s="48">
        <f t="shared" si="0"/>
        <v>1.5792946189659396</v>
      </c>
    </row>
    <row r="29" spans="1:5" x14ac:dyDescent="0.25">
      <c r="A29" t="s">
        <v>16</v>
      </c>
      <c r="B29" s="23">
        <v>8.2000000000000003E-2</v>
      </c>
      <c r="C29" s="23">
        <v>0.11978816466552315</v>
      </c>
      <c r="D29" s="23">
        <v>3.778816466552315E-2</v>
      </c>
      <c r="E29" s="48">
        <f t="shared" si="0"/>
        <v>1.4608312764088189</v>
      </c>
    </row>
    <row r="30" spans="1:5" x14ac:dyDescent="0.25">
      <c r="A30" t="s">
        <v>152</v>
      </c>
      <c r="B30" s="23">
        <v>7.7499999999999999E-2</v>
      </c>
      <c r="C30" s="23">
        <v>0.11216101989708403</v>
      </c>
      <c r="D30" s="23">
        <v>3.4661019897084033E-2</v>
      </c>
      <c r="E30" s="48">
        <f t="shared" si="0"/>
        <v>1.4472389664139875</v>
      </c>
    </row>
    <row r="31" spans="1:5" x14ac:dyDescent="0.25">
      <c r="A31" t="s">
        <v>259</v>
      </c>
      <c r="B31" s="23">
        <v>8.2500000000000004E-2</v>
      </c>
      <c r="C31" s="23">
        <v>0.11526386106346484</v>
      </c>
      <c r="D31" s="23">
        <v>3.2763861063464836E-2</v>
      </c>
      <c r="E31" s="48">
        <f t="shared" si="0"/>
        <v>1.3971377098601798</v>
      </c>
    </row>
    <row r="32" spans="1:5" x14ac:dyDescent="0.25">
      <c r="A32" t="s">
        <v>42</v>
      </c>
      <c r="B32" s="23">
        <v>7.6399999999999996E-2</v>
      </c>
      <c r="C32" s="23">
        <v>0.10776257632933103</v>
      </c>
      <c r="D32" s="23">
        <v>3.1362576329331038E-2</v>
      </c>
      <c r="E32" s="48">
        <f t="shared" si="0"/>
        <v>1.4105049257765843</v>
      </c>
    </row>
    <row r="33" spans="1:5" x14ac:dyDescent="0.25">
      <c r="A33" t="s">
        <v>31</v>
      </c>
      <c r="B33" s="23">
        <v>8.7499999999999994E-2</v>
      </c>
      <c r="C33" s="23">
        <v>0.11600395999999999</v>
      </c>
      <c r="D33" s="23">
        <v>2.8503959999999995E-2</v>
      </c>
      <c r="E33" s="48">
        <f t="shared" si="0"/>
        <v>1.3257595428571429</v>
      </c>
    </row>
    <row r="34" spans="1:5" x14ac:dyDescent="0.25">
      <c r="A34" t="s">
        <v>205</v>
      </c>
      <c r="B34" s="23">
        <v>9.2499999999999999E-2</v>
      </c>
      <c r="C34" s="23">
        <v>0.1198713550600343</v>
      </c>
      <c r="D34" s="23">
        <v>2.7371355060034297E-2</v>
      </c>
      <c r="E34" s="48">
        <f t="shared" si="0"/>
        <v>1.2959065411895601</v>
      </c>
    </row>
    <row r="35" spans="1:5" x14ac:dyDescent="0.25">
      <c r="A35" t="s">
        <v>115</v>
      </c>
      <c r="B35" s="23">
        <v>6.25E-2</v>
      </c>
      <c r="C35" s="23">
        <v>8.9301029159519721E-2</v>
      </c>
      <c r="D35" s="23">
        <v>2.6801029159519721E-2</v>
      </c>
      <c r="E35" s="48">
        <f t="shared" si="0"/>
        <v>1.4288164665523155</v>
      </c>
    </row>
    <row r="36" spans="1:5" x14ac:dyDescent="0.25">
      <c r="A36" t="s">
        <v>237</v>
      </c>
      <c r="B36" s="23">
        <v>5.5E-2</v>
      </c>
      <c r="C36" s="23">
        <v>7.9486250428816477E-2</v>
      </c>
      <c r="D36" s="23">
        <v>2.4486250428816476E-2</v>
      </c>
      <c r="E36" s="48">
        <f t="shared" si="0"/>
        <v>1.4452045532512086</v>
      </c>
    </row>
    <row r="37" spans="1:5" x14ac:dyDescent="0.25">
      <c r="A37" t="s">
        <v>178</v>
      </c>
      <c r="B37" s="23">
        <v>8.4500000000000006E-2</v>
      </c>
      <c r="C37" s="23">
        <v>0.10876681166380789</v>
      </c>
      <c r="D37" s="23">
        <v>2.4266811663807883E-2</v>
      </c>
      <c r="E37" s="48">
        <f t="shared" si="0"/>
        <v>1.2871812031219867</v>
      </c>
    </row>
    <row r="38" spans="1:5" x14ac:dyDescent="0.25">
      <c r="A38" t="s">
        <v>68</v>
      </c>
      <c r="B38" s="23">
        <v>0.04</v>
      </c>
      <c r="C38" s="23">
        <v>6.3820943396226418E-2</v>
      </c>
      <c r="D38" s="23">
        <v>2.3820943396226417E-2</v>
      </c>
      <c r="E38" s="48">
        <f t="shared" si="0"/>
        <v>1.5955235849056604</v>
      </c>
    </row>
    <row r="39" spans="1:5" x14ac:dyDescent="0.25">
      <c r="A39" t="s">
        <v>194</v>
      </c>
      <c r="B39" s="23">
        <v>8.2500000000000004E-2</v>
      </c>
      <c r="C39" s="23">
        <v>0.10579331046312176</v>
      </c>
      <c r="D39" s="23">
        <v>2.3293310463121761E-2</v>
      </c>
      <c r="E39" s="48">
        <f t="shared" si="0"/>
        <v>1.2823431571287487</v>
      </c>
    </row>
    <row r="40" spans="1:5" x14ac:dyDescent="0.25">
      <c r="A40" t="s">
        <v>118</v>
      </c>
      <c r="B40" s="23">
        <v>0.06</v>
      </c>
      <c r="C40" s="23">
        <v>8.282351217838764E-2</v>
      </c>
      <c r="D40" s="23">
        <v>2.2823512178387642E-2</v>
      </c>
      <c r="E40" s="48">
        <f t="shared" si="0"/>
        <v>1.3803918696397941</v>
      </c>
    </row>
    <row r="41" spans="1:5" x14ac:dyDescent="0.25">
      <c r="A41" t="s">
        <v>82</v>
      </c>
      <c r="B41" s="23">
        <v>6.5000000000000002E-2</v>
      </c>
      <c r="C41" s="23">
        <v>8.7084048027444252E-2</v>
      </c>
      <c r="D41" s="23">
        <v>2.208404802744425E-2</v>
      </c>
      <c r="E41" s="48">
        <f t="shared" si="0"/>
        <v>1.3397545850376038</v>
      </c>
    </row>
    <row r="42" spans="1:5" x14ac:dyDescent="0.25">
      <c r="A42" t="s">
        <v>261</v>
      </c>
      <c r="B42" s="23">
        <v>6.5000000000000002E-2</v>
      </c>
      <c r="C42" s="23">
        <v>8.5000000000000006E-2</v>
      </c>
      <c r="D42" s="23">
        <v>2.0000000000000004E-2</v>
      </c>
      <c r="E42" s="48">
        <f t="shared" si="0"/>
        <v>1.3076923076923077</v>
      </c>
    </row>
    <row r="43" spans="1:5" x14ac:dyDescent="0.25">
      <c r="A43" t="s">
        <v>444</v>
      </c>
      <c r="B43" s="23">
        <v>0.115</v>
      </c>
      <c r="C43" s="23">
        <v>0.13446351166380791</v>
      </c>
      <c r="D43" s="23">
        <v>1.94635116638079E-2</v>
      </c>
      <c r="E43" s="48">
        <f t="shared" si="0"/>
        <v>1.169247927511373</v>
      </c>
    </row>
    <row r="44" spans="1:5" x14ac:dyDescent="0.25">
      <c r="A44" t="s">
        <v>151</v>
      </c>
      <c r="B44" s="23">
        <v>7.0000000000000007E-2</v>
      </c>
      <c r="C44" s="23">
        <v>8.9296740994854212E-2</v>
      </c>
      <c r="D44" s="23">
        <v>1.9296740994854206E-2</v>
      </c>
      <c r="E44" s="48">
        <f t="shared" si="0"/>
        <v>1.2756677284979172</v>
      </c>
    </row>
    <row r="45" spans="1:5" x14ac:dyDescent="0.25">
      <c r="A45" t="s">
        <v>104</v>
      </c>
      <c r="B45" s="23">
        <v>5.5E-2</v>
      </c>
      <c r="C45" s="23">
        <v>7.3549270497427113E-2</v>
      </c>
      <c r="D45" s="23">
        <v>1.8549270497427113E-2</v>
      </c>
      <c r="E45" s="48">
        <f t="shared" si="0"/>
        <v>1.3372594635895838</v>
      </c>
    </row>
    <row r="46" spans="1:5" x14ac:dyDescent="0.25">
      <c r="A46" t="s">
        <v>122</v>
      </c>
      <c r="B46" s="23">
        <v>7.6999999999999999E-2</v>
      </c>
      <c r="C46" s="23">
        <v>9.5439108061749586E-2</v>
      </c>
      <c r="D46" s="23">
        <v>1.8439108061749587E-2</v>
      </c>
      <c r="E46" s="48">
        <f t="shared" si="0"/>
        <v>1.2394689358668778</v>
      </c>
    </row>
    <row r="47" spans="1:5" x14ac:dyDescent="0.25">
      <c r="A47" t="s">
        <v>181</v>
      </c>
      <c r="B47" s="23">
        <v>0</v>
      </c>
      <c r="C47" s="23">
        <v>1.8010291595197254E-2</v>
      </c>
      <c r="D47" s="23">
        <v>1.8010291595197254E-2</v>
      </c>
      <c r="E47" s="48" t="s">
        <v>539</v>
      </c>
    </row>
    <row r="48" spans="1:5" x14ac:dyDescent="0.25">
      <c r="A48" t="s">
        <v>126</v>
      </c>
      <c r="B48" s="23">
        <v>7.4999999999999997E-2</v>
      </c>
      <c r="C48" s="23">
        <v>9.1440823327615786E-2</v>
      </c>
      <c r="D48" s="23">
        <v>1.6440823327615789E-2</v>
      </c>
      <c r="E48" s="48">
        <f t="shared" si="0"/>
        <v>1.2192109777015439</v>
      </c>
    </row>
    <row r="49" spans="1:5" x14ac:dyDescent="0.25">
      <c r="A49" t="s">
        <v>233</v>
      </c>
      <c r="B49" s="23">
        <v>5.5500000000000001E-2</v>
      </c>
      <c r="C49" s="23">
        <v>7.1840317495711833E-2</v>
      </c>
      <c r="D49" s="23">
        <v>1.6340317495711833E-2</v>
      </c>
      <c r="E49" s="48">
        <f t="shared" si="0"/>
        <v>1.2944201350578708</v>
      </c>
    </row>
    <row r="50" spans="1:5" x14ac:dyDescent="0.25">
      <c r="A50" t="s">
        <v>168</v>
      </c>
      <c r="B50" s="23">
        <v>7.0000000000000007E-2</v>
      </c>
      <c r="C50" s="23">
        <v>8.5866209262435683E-2</v>
      </c>
      <c r="D50" s="23">
        <v>1.5866209262435677E-2</v>
      </c>
      <c r="E50" s="48">
        <f t="shared" si="0"/>
        <v>1.2266601323205097</v>
      </c>
    </row>
    <row r="51" spans="1:5" x14ac:dyDescent="0.25">
      <c r="A51" t="s">
        <v>63</v>
      </c>
      <c r="B51" s="23">
        <v>0.08</v>
      </c>
      <c r="C51" s="23">
        <v>9.2195540308747853E-2</v>
      </c>
      <c r="D51" s="23">
        <v>1.2195540308747851E-2</v>
      </c>
      <c r="E51" s="48">
        <f t="shared" si="0"/>
        <v>1.1524442538593482</v>
      </c>
    </row>
    <row r="52" spans="1:5" x14ac:dyDescent="0.25">
      <c r="A52" t="s">
        <v>48</v>
      </c>
      <c r="B52" s="23">
        <v>6.3500000000000001E-2</v>
      </c>
      <c r="C52" s="23">
        <v>7.4434819897084045E-2</v>
      </c>
      <c r="D52" s="23">
        <v>1.0934819897084044E-2</v>
      </c>
      <c r="E52" s="48">
        <f t="shared" si="0"/>
        <v>1.1722018881430558</v>
      </c>
    </row>
    <row r="53" spans="1:5" x14ac:dyDescent="0.25">
      <c r="A53" t="s">
        <v>225</v>
      </c>
      <c r="B53" s="23">
        <v>5.6499999999999995E-2</v>
      </c>
      <c r="C53" s="23">
        <v>6.6080617495711841E-2</v>
      </c>
      <c r="D53" s="23">
        <v>9.5806174957118462E-3</v>
      </c>
      <c r="E53" s="48">
        <f t="shared" si="0"/>
        <v>1.1695684512515372</v>
      </c>
    </row>
    <row r="54" spans="1:5" x14ac:dyDescent="0.25">
      <c r="A54" t="s">
        <v>174</v>
      </c>
      <c r="B54" s="23">
        <v>7.7499999999999999E-2</v>
      </c>
      <c r="C54" s="23">
        <v>8.4160205831903936E-2</v>
      </c>
      <c r="D54" s="23">
        <v>6.660205831903937E-3</v>
      </c>
      <c r="E54" s="48">
        <f t="shared" si="0"/>
        <v>1.0859381397665024</v>
      </c>
    </row>
    <row r="55" spans="1:5" x14ac:dyDescent="0.25">
      <c r="A55" t="s">
        <v>5</v>
      </c>
      <c r="B55" s="23">
        <v>9.5000000000000001E-2</v>
      </c>
      <c r="C55" s="23">
        <v>9.7521440823327615E-2</v>
      </c>
      <c r="D55" s="23">
        <v>2.5214408233276142E-3</v>
      </c>
      <c r="E55" s="48">
        <f t="shared" si="0"/>
        <v>1.026541482350817</v>
      </c>
    </row>
    <row r="56" spans="1:5" x14ac:dyDescent="0.25">
      <c r="A56" t="s">
        <v>231</v>
      </c>
      <c r="B56" s="23">
        <v>7.0000000000000007E-2</v>
      </c>
      <c r="C56" s="23">
        <v>6.4322469982847338E-2</v>
      </c>
      <c r="D56" s="23">
        <v>-5.6775300171526683E-3</v>
      </c>
      <c r="E56" s="48">
        <f t="shared" si="0"/>
        <v>0.91889242832639051</v>
      </c>
    </row>
    <row r="57" spans="1:5" x14ac:dyDescent="0.25">
      <c r="A57" t="s">
        <v>100</v>
      </c>
      <c r="B57" s="23">
        <v>0.09</v>
      </c>
      <c r="C57" s="23">
        <v>7.2881646655231558E-2</v>
      </c>
      <c r="D57" s="23">
        <v>-1.7118353344768439E-2</v>
      </c>
      <c r="E57" s="48">
        <f t="shared" si="0"/>
        <v>0.80979607394701736</v>
      </c>
    </row>
    <row r="58" spans="1:5" x14ac:dyDescent="0.25">
      <c r="A58" t="s">
        <v>72</v>
      </c>
      <c r="B58" s="23">
        <v>0.06</v>
      </c>
      <c r="C58" s="23">
        <v>2.1655231560891938E-2</v>
      </c>
      <c r="D58" s="23">
        <v>-3.8344768439108057E-2</v>
      </c>
      <c r="E58" s="48">
        <f t="shared" si="0"/>
        <v>0.36092052601486563</v>
      </c>
    </row>
    <row r="59" spans="1:5" x14ac:dyDescent="0.25">
      <c r="A59" t="s">
        <v>143</v>
      </c>
      <c r="B59" s="23">
        <v>7.85E-2</v>
      </c>
      <c r="C59" s="23">
        <v>1.9466845111492284E-2</v>
      </c>
      <c r="D59" s="23">
        <v>-5.9033154888507716E-2</v>
      </c>
      <c r="E59" s="48">
        <f t="shared" si="0"/>
        <v>0.24798528804448769</v>
      </c>
    </row>
    <row r="60" spans="1:5" x14ac:dyDescent="0.25">
      <c r="B60" s="23"/>
      <c r="C60" s="23"/>
      <c r="D60" s="23"/>
    </row>
    <row r="61" spans="1:5" x14ac:dyDescent="0.25">
      <c r="A61" s="74" t="s">
        <v>351</v>
      </c>
      <c r="B61" s="41">
        <v>7.5700000000000003E-2</v>
      </c>
      <c r="C61" s="41">
        <v>0.115</v>
      </c>
      <c r="D61" s="41">
        <v>3.7239794498041559E-2</v>
      </c>
    </row>
    <row r="63" spans="1:5" x14ac:dyDescent="0.25">
      <c r="A63" t="s">
        <v>513</v>
      </c>
    </row>
    <row r="64" spans="1:5" x14ac:dyDescent="0.25">
      <c r="A64" t="s">
        <v>512</v>
      </c>
    </row>
  </sheetData>
  <sortState ref="A8:D59">
    <sortCondition descending="1" ref="D8:D59"/>
  </sortState>
  <mergeCells count="2">
    <mergeCell ref="A1:D1"/>
    <mergeCell ref="A2:D2"/>
  </mergeCells>
  <printOptions gridLines="1"/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9" sqref="B9"/>
    </sheetView>
  </sheetViews>
  <sheetFormatPr defaultRowHeight="15" x14ac:dyDescent="0.25"/>
  <cols>
    <col min="1" max="1" width="25.140625" customWidth="1"/>
    <col min="2" max="2" width="28.85546875" customWidth="1"/>
    <col min="3" max="3" width="25.7109375" customWidth="1"/>
  </cols>
  <sheetData>
    <row r="1" spans="1:3" x14ac:dyDescent="0.25">
      <c r="A1" s="132" t="s">
        <v>352</v>
      </c>
      <c r="B1" s="132"/>
      <c r="C1" s="132"/>
    </row>
    <row r="2" spans="1:3" x14ac:dyDescent="0.25">
      <c r="A2" s="132" t="s">
        <v>353</v>
      </c>
      <c r="B2" s="132"/>
      <c r="C2" s="132"/>
    </row>
    <row r="4" spans="1:3" x14ac:dyDescent="0.25">
      <c r="A4" s="22" t="s">
        <v>354</v>
      </c>
      <c r="B4" s="22" t="s">
        <v>356</v>
      </c>
      <c r="C4" s="22" t="s">
        <v>358</v>
      </c>
    </row>
    <row r="5" spans="1:3" x14ac:dyDescent="0.25">
      <c r="A5" s="76" t="s">
        <v>355</v>
      </c>
      <c r="B5" s="76" t="s">
        <v>357</v>
      </c>
      <c r="C5" s="76" t="s">
        <v>359</v>
      </c>
    </row>
    <row r="6" spans="1:3" x14ac:dyDescent="0.25">
      <c r="A6" s="22" t="s">
        <v>78</v>
      </c>
      <c r="B6" s="22" t="s">
        <v>54</v>
      </c>
      <c r="C6" s="22" t="s">
        <v>49</v>
      </c>
    </row>
    <row r="7" spans="1:3" x14ac:dyDescent="0.25">
      <c r="A7" s="22" t="s">
        <v>91</v>
      </c>
      <c r="B7" s="22" t="s">
        <v>58</v>
      </c>
      <c r="C7" s="22" t="s">
        <v>131</v>
      </c>
    </row>
    <row r="8" spans="1:3" x14ac:dyDescent="0.25">
      <c r="A8" s="22" t="s">
        <v>156</v>
      </c>
      <c r="B8" s="22" t="s">
        <v>74</v>
      </c>
      <c r="C8" s="22" t="s">
        <v>148</v>
      </c>
    </row>
    <row r="9" spans="1:3" x14ac:dyDescent="0.25">
      <c r="A9" s="22" t="s">
        <v>171</v>
      </c>
      <c r="B9" s="22"/>
      <c r="C9" s="22"/>
    </row>
    <row r="10" spans="1:3" x14ac:dyDescent="0.25">
      <c r="A10" s="22" t="s">
        <v>185</v>
      </c>
      <c r="B10" s="22"/>
      <c r="C10" s="22"/>
    </row>
    <row r="11" spans="1:3" x14ac:dyDescent="0.25">
      <c r="A11" s="22" t="s">
        <v>360</v>
      </c>
      <c r="B11" s="22"/>
      <c r="C11" s="22"/>
    </row>
    <row r="12" spans="1:3" x14ac:dyDescent="0.25">
      <c r="A12" s="22" t="s">
        <v>197</v>
      </c>
      <c r="B12" s="22"/>
      <c r="C12" s="22"/>
    </row>
    <row r="13" spans="1:3" x14ac:dyDescent="0.25">
      <c r="A13" s="22"/>
      <c r="B13" s="22"/>
      <c r="C13" s="22"/>
    </row>
    <row r="14" spans="1:3" x14ac:dyDescent="0.25">
      <c r="A14" s="22"/>
      <c r="B14" s="22"/>
      <c r="C14" s="22"/>
    </row>
    <row r="15" spans="1:3" x14ac:dyDescent="0.25">
      <c r="A15" s="22"/>
      <c r="B15" s="22"/>
      <c r="C15" s="22"/>
    </row>
    <row r="16" spans="1:3" x14ac:dyDescent="0.25">
      <c r="A16" s="22"/>
      <c r="B16" s="22"/>
      <c r="C16" s="22"/>
    </row>
    <row r="17" spans="1:3" x14ac:dyDescent="0.25">
      <c r="A17" s="22"/>
      <c r="B17" s="22"/>
      <c r="C17" s="22"/>
    </row>
    <row r="18" spans="1:3" x14ac:dyDescent="0.25">
      <c r="A18" s="22"/>
      <c r="B18" s="22"/>
      <c r="C18" s="22"/>
    </row>
  </sheetData>
  <mergeCells count="2">
    <mergeCell ref="A1:C1"/>
    <mergeCell ref="A2:C2"/>
  </mergeCells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D20" sqref="D20"/>
    </sheetView>
  </sheetViews>
  <sheetFormatPr defaultRowHeight="15" x14ac:dyDescent="0.25"/>
  <cols>
    <col min="1" max="1" width="31.42578125" customWidth="1"/>
    <col min="2" max="2" width="30.5703125" customWidth="1"/>
    <col min="3" max="3" width="27.140625" customWidth="1"/>
  </cols>
  <sheetData>
    <row r="1" spans="1:3" x14ac:dyDescent="0.25">
      <c r="A1" s="132" t="s">
        <v>362</v>
      </c>
      <c r="B1" s="132"/>
      <c r="C1" s="132"/>
    </row>
    <row r="2" spans="1:3" x14ac:dyDescent="0.25">
      <c r="A2" s="132" t="s">
        <v>361</v>
      </c>
      <c r="B2" s="132"/>
      <c r="C2" s="132"/>
    </row>
    <row r="4" spans="1:3" x14ac:dyDescent="0.25">
      <c r="C4" s="22" t="s">
        <v>365</v>
      </c>
    </row>
    <row r="5" spans="1:3" x14ac:dyDescent="0.25">
      <c r="A5" s="76" t="s">
        <v>363</v>
      </c>
      <c r="B5" s="76" t="s">
        <v>364</v>
      </c>
      <c r="C5" s="76" t="s">
        <v>366</v>
      </c>
    </row>
    <row r="7" spans="1:3" x14ac:dyDescent="0.25">
      <c r="A7" s="22" t="s">
        <v>16</v>
      </c>
      <c r="B7" s="22" t="s">
        <v>58</v>
      </c>
      <c r="C7" s="22" t="s">
        <v>91</v>
      </c>
    </row>
    <row r="8" spans="1:3" x14ac:dyDescent="0.25">
      <c r="A8" s="22" t="s">
        <v>31</v>
      </c>
      <c r="B8" s="22" t="s">
        <v>74</v>
      </c>
      <c r="C8" s="22" t="s">
        <v>156</v>
      </c>
    </row>
    <row r="9" spans="1:3" x14ac:dyDescent="0.25">
      <c r="A9" s="22" t="s">
        <v>110</v>
      </c>
      <c r="B9" s="22" t="s">
        <v>110</v>
      </c>
    </row>
    <row r="10" spans="1:3" x14ac:dyDescent="0.25">
      <c r="A10" s="22" t="s">
        <v>128</v>
      </c>
      <c r="B10" s="22" t="s">
        <v>156</v>
      </c>
    </row>
    <row r="11" spans="1:3" x14ac:dyDescent="0.25">
      <c r="A11" s="22" t="s">
        <v>137</v>
      </c>
      <c r="B11" s="22" t="s">
        <v>215</v>
      </c>
    </row>
    <row r="12" spans="1:3" x14ac:dyDescent="0.25">
      <c r="A12" s="22" t="s">
        <v>143</v>
      </c>
      <c r="B12" s="22"/>
    </row>
    <row r="13" spans="1:3" x14ac:dyDescent="0.25">
      <c r="A13" s="22" t="s">
        <v>194</v>
      </c>
      <c r="B13" s="22"/>
    </row>
    <row r="14" spans="1:3" x14ac:dyDescent="0.25">
      <c r="A14" s="22" t="s">
        <v>227</v>
      </c>
    </row>
    <row r="16" spans="1:3" x14ac:dyDescent="0.25">
      <c r="A16" s="127" t="s">
        <v>517</v>
      </c>
    </row>
  </sheetData>
  <mergeCells count="2">
    <mergeCell ref="A1:C1"/>
    <mergeCell ref="A2:C2"/>
  </mergeCells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14" sqref="E14"/>
    </sheetView>
  </sheetViews>
  <sheetFormatPr defaultRowHeight="15" x14ac:dyDescent="0.25"/>
  <cols>
    <col min="1" max="1" width="25.28515625" customWidth="1"/>
    <col min="2" max="2" width="21.5703125" customWidth="1"/>
    <col min="3" max="3" width="16.7109375" customWidth="1"/>
  </cols>
  <sheetData>
    <row r="1" spans="1:3" x14ac:dyDescent="0.25">
      <c r="A1" s="132" t="s">
        <v>370</v>
      </c>
      <c r="B1" s="132"/>
      <c r="C1" s="132"/>
    </row>
    <row r="2" spans="1:3" x14ac:dyDescent="0.25">
      <c r="A2" s="132" t="s">
        <v>518</v>
      </c>
      <c r="B2" s="132"/>
      <c r="C2" s="132"/>
    </row>
    <row r="3" spans="1:3" x14ac:dyDescent="0.25">
      <c r="A3" s="78"/>
    </row>
    <row r="5" spans="1:3" x14ac:dyDescent="0.25">
      <c r="B5" s="22" t="s">
        <v>345</v>
      </c>
    </row>
    <row r="6" spans="1:3" ht="18.75" x14ac:dyDescent="0.3">
      <c r="A6" s="73"/>
      <c r="B6" s="22" t="s">
        <v>368</v>
      </c>
    </row>
    <row r="7" spans="1:3" x14ac:dyDescent="0.25">
      <c r="B7" s="64">
        <v>100</v>
      </c>
    </row>
    <row r="8" spans="1:3" x14ac:dyDescent="0.25">
      <c r="A8" s="77" t="s">
        <v>367</v>
      </c>
      <c r="B8" s="76" t="s">
        <v>342</v>
      </c>
      <c r="C8" s="76" t="s">
        <v>343</v>
      </c>
    </row>
    <row r="9" spans="1:3" x14ac:dyDescent="0.25">
      <c r="A9" t="s">
        <v>400</v>
      </c>
      <c r="B9" s="63">
        <f t="shared" ref="B9:B18" si="0">$B$7*C9</f>
        <v>36.06</v>
      </c>
      <c r="C9" s="23">
        <f>6.46%+14%+3.9%*4</f>
        <v>0.36060000000000003</v>
      </c>
    </row>
    <row r="10" spans="1:3" x14ac:dyDescent="0.25">
      <c r="A10" t="s">
        <v>337</v>
      </c>
      <c r="B10" s="63">
        <f t="shared" si="0"/>
        <v>29.900000000000006</v>
      </c>
      <c r="C10" s="23">
        <f>6.46%+16%+1%+6%+0.44%</f>
        <v>0.29900000000000004</v>
      </c>
    </row>
    <row r="11" spans="1:3" x14ac:dyDescent="0.25">
      <c r="A11" t="s">
        <v>332</v>
      </c>
      <c r="B11" s="63">
        <f t="shared" si="0"/>
        <v>26</v>
      </c>
      <c r="C11" s="23">
        <f>19.54%+6.46%</f>
        <v>0.26</v>
      </c>
    </row>
    <row r="12" spans="1:3" x14ac:dyDescent="0.25">
      <c r="A12" t="s">
        <v>333</v>
      </c>
      <c r="B12" s="63">
        <f t="shared" si="0"/>
        <v>26.93</v>
      </c>
      <c r="C12" s="23">
        <f>20.47%+6.46%</f>
        <v>0.26929999999999998</v>
      </c>
    </row>
    <row r="13" spans="1:3" x14ac:dyDescent="0.25">
      <c r="A13" t="s">
        <v>331</v>
      </c>
      <c r="B13" s="63">
        <f t="shared" si="0"/>
        <v>25.759999999999998</v>
      </c>
      <c r="C13" s="23">
        <f>19.3%+6.46%</f>
        <v>0.2576</v>
      </c>
    </row>
    <row r="14" spans="1:3" x14ac:dyDescent="0.25">
      <c r="A14" t="s">
        <v>338</v>
      </c>
      <c r="B14" s="63">
        <f t="shared" si="0"/>
        <v>22.4</v>
      </c>
      <c r="C14" s="23">
        <f>15.94%+6.46%</f>
        <v>0.22399999999999998</v>
      </c>
    </row>
    <row r="15" spans="1:3" x14ac:dyDescent="0.25">
      <c r="A15" t="s">
        <v>339</v>
      </c>
      <c r="B15" s="63">
        <f t="shared" si="0"/>
        <v>23.5</v>
      </c>
      <c r="C15" s="23">
        <f>17.04%+6.46%</f>
        <v>0.23499999999999999</v>
      </c>
    </row>
    <row r="16" spans="1:3" x14ac:dyDescent="0.25">
      <c r="A16" t="s">
        <v>336</v>
      </c>
      <c r="B16" s="63">
        <f t="shared" si="0"/>
        <v>23.460000000000004</v>
      </c>
      <c r="C16" s="23">
        <f>17%+6.46%</f>
        <v>0.23460000000000003</v>
      </c>
    </row>
    <row r="17" spans="1:3" x14ac:dyDescent="0.25">
      <c r="A17" t="s">
        <v>334</v>
      </c>
      <c r="B17" s="63">
        <f t="shared" si="0"/>
        <v>21.310000000000002</v>
      </c>
      <c r="C17" s="23">
        <f>14.85%+6.46%</f>
        <v>0.21310000000000001</v>
      </c>
    </row>
    <row r="18" spans="1:3" x14ac:dyDescent="0.25">
      <c r="A18" t="s">
        <v>335</v>
      </c>
      <c r="B18" s="63">
        <f t="shared" si="0"/>
        <v>19.05</v>
      </c>
      <c r="C18" s="23">
        <f>12.59%+6.46%</f>
        <v>0.1905</v>
      </c>
    </row>
  </sheetData>
  <mergeCells count="2">
    <mergeCell ref="A1:C1"/>
    <mergeCell ref="A2:C2"/>
  </mergeCells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C16" sqref="C16"/>
    </sheetView>
  </sheetViews>
  <sheetFormatPr defaultRowHeight="15" x14ac:dyDescent="0.25"/>
  <cols>
    <col min="2" max="2" width="9.42578125" customWidth="1"/>
    <col min="3" max="3" width="11.42578125" customWidth="1"/>
  </cols>
  <sheetData>
    <row r="3" spans="1:5" x14ac:dyDescent="0.25">
      <c r="A3" s="76" t="s">
        <v>534</v>
      </c>
      <c r="B3" s="76" t="s">
        <v>536</v>
      </c>
      <c r="C3" s="76" t="s">
        <v>535</v>
      </c>
    </row>
    <row r="4" spans="1:5" x14ac:dyDescent="0.25">
      <c r="A4" s="126">
        <v>2004</v>
      </c>
      <c r="B4" s="81">
        <v>48.4</v>
      </c>
      <c r="C4" s="29">
        <v>0.16220000000000001</v>
      </c>
      <c r="D4" s="80">
        <f>B4*C4</f>
        <v>7.8504800000000001</v>
      </c>
      <c r="E4" s="80">
        <f>B4+D4</f>
        <v>56.250479999999996</v>
      </c>
    </row>
    <row r="5" spans="1:5" x14ac:dyDescent="0.25">
      <c r="A5" s="126">
        <v>2005</v>
      </c>
      <c r="B5" s="81">
        <v>50.64</v>
      </c>
      <c r="C5" s="29">
        <v>0.16849999999999998</v>
      </c>
      <c r="D5" s="80">
        <f t="shared" ref="D5:D13" si="0">B5*C5</f>
        <v>8.5328399999999984</v>
      </c>
      <c r="E5" s="80">
        <f t="shared" ref="E5:E13" si="1">B5+D5</f>
        <v>59.172840000000001</v>
      </c>
    </row>
    <row r="6" spans="1:5" x14ac:dyDescent="0.25">
      <c r="A6" s="126">
        <v>2006</v>
      </c>
      <c r="B6" s="81">
        <v>49.98</v>
      </c>
      <c r="C6" s="29">
        <v>0.14127357412640812</v>
      </c>
      <c r="D6" s="80">
        <f t="shared" si="0"/>
        <v>7.060853234837877</v>
      </c>
      <c r="E6" s="80">
        <f t="shared" si="1"/>
        <v>57.040853234837876</v>
      </c>
    </row>
    <row r="7" spans="1:5" x14ac:dyDescent="0.25">
      <c r="A7" s="126">
        <v>2007</v>
      </c>
      <c r="B7" s="81">
        <v>49.94</v>
      </c>
      <c r="C7" s="29">
        <v>0.15190000000000001</v>
      </c>
      <c r="D7" s="80">
        <f t="shared" si="0"/>
        <v>7.5858860000000004</v>
      </c>
      <c r="E7" s="80">
        <f t="shared" si="1"/>
        <v>57.525886</v>
      </c>
    </row>
    <row r="8" spans="1:5" x14ac:dyDescent="0.25">
      <c r="A8" s="126">
        <v>2008</v>
      </c>
      <c r="B8" s="81">
        <v>49.94</v>
      </c>
      <c r="C8" s="29">
        <v>0.150894</v>
      </c>
      <c r="D8" s="80">
        <f t="shared" si="0"/>
        <v>7.5356463599999994</v>
      </c>
      <c r="E8" s="80">
        <f t="shared" si="1"/>
        <v>57.475646359999999</v>
      </c>
    </row>
    <row r="9" spans="1:5" x14ac:dyDescent="0.25">
      <c r="A9" s="126">
        <v>2009</v>
      </c>
      <c r="B9" s="81">
        <v>49.79</v>
      </c>
      <c r="C9" s="29">
        <v>0.15529999999999999</v>
      </c>
      <c r="D9" s="80">
        <f t="shared" si="0"/>
        <v>7.7323869999999992</v>
      </c>
      <c r="E9" s="80">
        <f t="shared" si="1"/>
        <v>57.522386999999995</v>
      </c>
    </row>
    <row r="10" spans="1:5" x14ac:dyDescent="0.25">
      <c r="A10" s="126">
        <v>2010</v>
      </c>
      <c r="B10" s="81">
        <v>48.16</v>
      </c>
      <c r="C10" s="29">
        <v>0.16260000000000002</v>
      </c>
      <c r="D10" s="80">
        <f t="shared" si="0"/>
        <v>7.8308160000000004</v>
      </c>
      <c r="E10" s="80">
        <f t="shared" si="1"/>
        <v>55.990815999999995</v>
      </c>
    </row>
    <row r="11" spans="1:5" x14ac:dyDescent="0.25">
      <c r="A11" s="126">
        <v>2012</v>
      </c>
      <c r="B11" s="81">
        <v>47</v>
      </c>
      <c r="C11" s="29">
        <v>0.17182798242013292</v>
      </c>
      <c r="D11" s="80">
        <f t="shared" si="0"/>
        <v>8.0759151737462478</v>
      </c>
      <c r="E11" s="80">
        <f t="shared" si="1"/>
        <v>55.075915173746246</v>
      </c>
    </row>
    <row r="12" spans="1:5" x14ac:dyDescent="0.25">
      <c r="A12" s="126">
        <v>2014</v>
      </c>
      <c r="B12" s="81">
        <v>48.79</v>
      </c>
      <c r="C12" s="29">
        <v>0.17049999999999998</v>
      </c>
      <c r="D12" s="80">
        <f t="shared" si="0"/>
        <v>8.318695</v>
      </c>
      <c r="E12" s="80">
        <f t="shared" si="1"/>
        <v>57.108694999999997</v>
      </c>
    </row>
    <row r="13" spans="1:5" x14ac:dyDescent="0.25">
      <c r="A13" s="126">
        <v>2015</v>
      </c>
      <c r="B13" s="81">
        <v>46.64</v>
      </c>
      <c r="C13" s="29">
        <v>0.17955163314369552</v>
      </c>
      <c r="D13" s="80">
        <f t="shared" si="0"/>
        <v>8.3742881698219591</v>
      </c>
      <c r="E13" s="80">
        <f t="shared" si="1"/>
        <v>55.01428816982196</v>
      </c>
    </row>
    <row r="15" spans="1:5" x14ac:dyDescent="0.25">
      <c r="C15" s="80">
        <f>B8-B13</f>
        <v>3.2999999999999972</v>
      </c>
      <c r="D15" s="80">
        <f>D13-D8</f>
        <v>0.83864180982195968</v>
      </c>
    </row>
    <row r="16" spans="1:5" x14ac:dyDescent="0.25">
      <c r="C16">
        <f>C15/B8</f>
        <v>6.6079295154184967E-2</v>
      </c>
    </row>
  </sheetData>
  <printOptions gridLines="1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I15" sqref="I15"/>
    </sheetView>
  </sheetViews>
  <sheetFormatPr defaultRowHeight="15" x14ac:dyDescent="0.25"/>
  <cols>
    <col min="1" max="1" width="35" customWidth="1"/>
    <col min="2" max="2" width="13.5703125" customWidth="1"/>
    <col min="3" max="3" width="14.5703125" customWidth="1"/>
    <col min="4" max="4" width="3.42578125" customWidth="1"/>
    <col min="5" max="5" width="13.28515625" customWidth="1"/>
    <col min="6" max="6" width="20.7109375" customWidth="1"/>
  </cols>
  <sheetData>
    <row r="1" spans="1:6" ht="18.75" x14ac:dyDescent="0.3">
      <c r="A1" s="73" t="s">
        <v>394</v>
      </c>
    </row>
    <row r="3" spans="1:6" x14ac:dyDescent="0.25">
      <c r="C3" s="22" t="s">
        <v>344</v>
      </c>
      <c r="F3" s="22" t="s">
        <v>345</v>
      </c>
    </row>
    <row r="4" spans="1:6" x14ac:dyDescent="0.25">
      <c r="C4" s="22" t="s">
        <v>340</v>
      </c>
      <c r="F4" s="22" t="s">
        <v>341</v>
      </c>
    </row>
    <row r="5" spans="1:6" x14ac:dyDescent="0.25">
      <c r="C5" s="63">
        <v>48.73</v>
      </c>
      <c r="F5" s="64">
        <v>100</v>
      </c>
    </row>
    <row r="6" spans="1:6" x14ac:dyDescent="0.25">
      <c r="B6" s="22" t="s">
        <v>343</v>
      </c>
      <c r="C6" s="22" t="s">
        <v>342</v>
      </c>
      <c r="E6" s="22" t="s">
        <v>343</v>
      </c>
      <c r="F6" s="22" t="s">
        <v>342</v>
      </c>
    </row>
    <row r="7" spans="1:6" x14ac:dyDescent="0.25">
      <c r="A7" t="s">
        <v>331</v>
      </c>
      <c r="B7" s="23">
        <f>17.44%+E18</f>
        <v>0.2326</v>
      </c>
      <c r="C7" s="63">
        <f>C5*B7</f>
        <v>11.334598</v>
      </c>
      <c r="D7" s="22"/>
      <c r="E7" s="23">
        <v>0.193</v>
      </c>
      <c r="F7" s="63">
        <f>F5*E7</f>
        <v>19.3</v>
      </c>
    </row>
    <row r="8" spans="1:6" x14ac:dyDescent="0.25">
      <c r="A8" t="s">
        <v>332</v>
      </c>
      <c r="B8" s="23">
        <f>18.61%+E18</f>
        <v>0.24429999999999999</v>
      </c>
      <c r="C8" s="63">
        <f>C5*B8</f>
        <v>11.904738999999999</v>
      </c>
      <c r="D8" s="22"/>
      <c r="E8" s="23">
        <v>0.21540000000000001</v>
      </c>
      <c r="F8" s="63">
        <f>F5*E8</f>
        <v>21.54</v>
      </c>
    </row>
    <row r="9" spans="1:6" x14ac:dyDescent="0.25">
      <c r="A9" t="s">
        <v>346</v>
      </c>
      <c r="B9" s="23">
        <f>22%+E18</f>
        <v>0.2782</v>
      </c>
      <c r="C9" s="63">
        <f>C5*B9</f>
        <v>13.556685999999999</v>
      </c>
      <c r="D9" s="22"/>
      <c r="E9" s="23">
        <v>0.29599999999999999</v>
      </c>
      <c r="F9" s="63">
        <f>F5*E9</f>
        <v>29.599999999999998</v>
      </c>
    </row>
    <row r="10" spans="1:6" x14ac:dyDescent="0.25">
      <c r="A10" t="s">
        <v>333</v>
      </c>
      <c r="B10" s="23">
        <f>17.04%+E18</f>
        <v>0.2286</v>
      </c>
      <c r="C10" s="63">
        <f>C5*B10</f>
        <v>11.139678</v>
      </c>
      <c r="D10" s="22"/>
      <c r="E10" s="23">
        <v>0.19980000000000001</v>
      </c>
      <c r="F10" s="63">
        <f>F5*E10</f>
        <v>19.98</v>
      </c>
    </row>
    <row r="11" spans="1:6" x14ac:dyDescent="0.25">
      <c r="A11" t="s">
        <v>334</v>
      </c>
      <c r="B11" s="23">
        <f>14.43%+E18</f>
        <v>0.20249999999999999</v>
      </c>
      <c r="C11" s="63">
        <f>C5*B11</f>
        <v>9.8678249999999981</v>
      </c>
      <c r="D11" s="22"/>
      <c r="E11" s="23">
        <v>0.14430000000000001</v>
      </c>
      <c r="F11" s="63">
        <f>F5*E11</f>
        <v>14.430000000000001</v>
      </c>
    </row>
    <row r="12" spans="1:6" x14ac:dyDescent="0.25">
      <c r="A12" t="s">
        <v>335</v>
      </c>
      <c r="B12" s="23">
        <f>11.21%+E18</f>
        <v>0.17030000000000001</v>
      </c>
      <c r="C12" s="63">
        <f>C5*B12</f>
        <v>8.2987190000000002</v>
      </c>
      <c r="D12" s="22"/>
      <c r="E12" s="23">
        <v>0.11210000000000001</v>
      </c>
      <c r="F12" s="63">
        <f>F5*E12</f>
        <v>11.21</v>
      </c>
    </row>
    <row r="13" spans="1:6" x14ac:dyDescent="0.25">
      <c r="A13" t="s">
        <v>336</v>
      </c>
      <c r="B13" s="23">
        <f>15.05%+E18</f>
        <v>0.2087</v>
      </c>
      <c r="C13" s="63">
        <f>C5*B13</f>
        <v>10.169950999999999</v>
      </c>
      <c r="D13" s="22"/>
      <c r="E13" s="70">
        <v>0.17</v>
      </c>
      <c r="F13" s="63">
        <f>F5*E13</f>
        <v>17</v>
      </c>
    </row>
    <row r="14" spans="1:6" x14ac:dyDescent="0.25">
      <c r="A14" t="s">
        <v>337</v>
      </c>
      <c r="B14" s="23">
        <f>16.47%+E18</f>
        <v>0.22289999999999999</v>
      </c>
      <c r="C14" s="63">
        <f>C5*B14</f>
        <v>10.861916999999998</v>
      </c>
      <c r="D14" s="22"/>
      <c r="E14" s="23">
        <v>0.26229999999999998</v>
      </c>
      <c r="F14" s="63">
        <f>F5*E14</f>
        <v>26.229999999999997</v>
      </c>
    </row>
    <row r="15" spans="1:6" x14ac:dyDescent="0.25">
      <c r="A15" t="s">
        <v>338</v>
      </c>
      <c r="B15" s="23">
        <f>17.09%+E18</f>
        <v>0.2291</v>
      </c>
      <c r="C15" s="63">
        <f>C5*B15</f>
        <v>11.164042999999999</v>
      </c>
      <c r="D15" s="22"/>
      <c r="E15" s="23">
        <v>0.1807</v>
      </c>
      <c r="F15" s="63">
        <f>F5*E15</f>
        <v>18.07</v>
      </c>
    </row>
    <row r="16" spans="1:6" x14ac:dyDescent="0.25">
      <c r="A16" t="s">
        <v>339</v>
      </c>
      <c r="B16" s="23">
        <f>14.58%+E18</f>
        <v>0.20400000000000001</v>
      </c>
      <c r="C16" s="63">
        <f>C5*B16</f>
        <v>9.9409200000000002</v>
      </c>
      <c r="D16" s="22"/>
      <c r="E16" s="23">
        <v>0.1704</v>
      </c>
      <c r="F16" s="63">
        <f>F5*E16</f>
        <v>17.04</v>
      </c>
    </row>
    <row r="18" spans="1:9" x14ac:dyDescent="0.25">
      <c r="E18" s="29">
        <v>5.8200000000000002E-2</v>
      </c>
    </row>
    <row r="20" spans="1:9" ht="18.75" x14ac:dyDescent="0.3">
      <c r="A20" s="73" t="s">
        <v>399</v>
      </c>
    </row>
    <row r="21" spans="1:9" x14ac:dyDescent="0.25">
      <c r="A21" s="60" t="s">
        <v>395</v>
      </c>
      <c r="C21" s="22" t="s">
        <v>344</v>
      </c>
    </row>
    <row r="22" spans="1:9" x14ac:dyDescent="0.25">
      <c r="C22" s="22" t="s">
        <v>369</v>
      </c>
    </row>
    <row r="23" spans="1:9" x14ac:dyDescent="0.25">
      <c r="C23" s="63">
        <v>48.73</v>
      </c>
    </row>
    <row r="24" spans="1:9" x14ac:dyDescent="0.25">
      <c r="B24" s="22" t="s">
        <v>343</v>
      </c>
      <c r="C24" s="22" t="s">
        <v>342</v>
      </c>
    </row>
    <row r="25" spans="1:9" x14ac:dyDescent="0.25">
      <c r="A25" t="s">
        <v>346</v>
      </c>
      <c r="B25" s="29">
        <f>B9</f>
        <v>0.2782</v>
      </c>
      <c r="C25" s="72">
        <f>C9</f>
        <v>13.556685999999999</v>
      </c>
    </row>
    <row r="26" spans="1:9" x14ac:dyDescent="0.25">
      <c r="A26" s="74" t="s">
        <v>398</v>
      </c>
      <c r="B26" s="75">
        <v>0.26100000000000001</v>
      </c>
      <c r="C26" s="91">
        <f>C23*B26</f>
        <v>12.718529999999999</v>
      </c>
    </row>
    <row r="27" spans="1:9" x14ac:dyDescent="0.25">
      <c r="A27" t="s">
        <v>332</v>
      </c>
      <c r="B27" s="29">
        <f>B8</f>
        <v>0.24429999999999999</v>
      </c>
      <c r="C27" s="72">
        <f>C8</f>
        <v>11.904738999999999</v>
      </c>
      <c r="G27" s="29"/>
      <c r="H27" s="29"/>
      <c r="I27" s="72"/>
    </row>
    <row r="28" spans="1:9" x14ac:dyDescent="0.25">
      <c r="A28" t="s">
        <v>331</v>
      </c>
      <c r="B28" s="29">
        <f>B7</f>
        <v>0.2326</v>
      </c>
      <c r="C28" s="72">
        <f>C7</f>
        <v>11.334598</v>
      </c>
      <c r="G28" s="29"/>
      <c r="I28" s="72"/>
    </row>
    <row r="29" spans="1:9" x14ac:dyDescent="0.25">
      <c r="A29" t="s">
        <v>338</v>
      </c>
      <c r="B29" s="29">
        <f>B15</f>
        <v>0.2291</v>
      </c>
      <c r="C29" s="72">
        <f>C15</f>
        <v>11.164042999999999</v>
      </c>
    </row>
    <row r="30" spans="1:9" x14ac:dyDescent="0.25">
      <c r="A30" t="s">
        <v>333</v>
      </c>
      <c r="B30" s="29">
        <f>B10</f>
        <v>0.2286</v>
      </c>
      <c r="C30" s="72">
        <f>C10</f>
        <v>11.139678</v>
      </c>
    </row>
    <row r="31" spans="1:9" x14ac:dyDescent="0.25">
      <c r="A31" t="s">
        <v>337</v>
      </c>
      <c r="B31" s="29">
        <f>B14</f>
        <v>0.22289999999999999</v>
      </c>
      <c r="C31" s="72">
        <f>C14</f>
        <v>10.861916999999998</v>
      </c>
    </row>
    <row r="32" spans="1:9" x14ac:dyDescent="0.25">
      <c r="A32" s="74" t="s">
        <v>397</v>
      </c>
      <c r="B32" s="75">
        <v>0.22090000000000001</v>
      </c>
      <c r="C32" s="91">
        <f>C23*B32</f>
        <v>10.764457</v>
      </c>
    </row>
    <row r="33" spans="1:7" x14ac:dyDescent="0.25">
      <c r="A33" t="s">
        <v>336</v>
      </c>
      <c r="B33" s="29">
        <f>B13</f>
        <v>0.2087</v>
      </c>
      <c r="C33" s="72">
        <f>C13</f>
        <v>10.169950999999999</v>
      </c>
    </row>
    <row r="34" spans="1:7" x14ac:dyDescent="0.25">
      <c r="A34" t="s">
        <v>339</v>
      </c>
      <c r="B34" s="29">
        <f>B16</f>
        <v>0.20400000000000001</v>
      </c>
      <c r="C34" s="72">
        <f>C16</f>
        <v>9.9409200000000002</v>
      </c>
    </row>
    <row r="35" spans="1:7" x14ac:dyDescent="0.25">
      <c r="A35" t="s">
        <v>334</v>
      </c>
      <c r="B35" s="29">
        <f>B11</f>
        <v>0.20249999999999999</v>
      </c>
      <c r="C35" s="72">
        <f>C11</f>
        <v>9.8678249999999981</v>
      </c>
    </row>
    <row r="36" spans="1:7" x14ac:dyDescent="0.25">
      <c r="A36" t="s">
        <v>335</v>
      </c>
      <c r="B36" s="29">
        <f>B12</f>
        <v>0.17030000000000001</v>
      </c>
      <c r="C36" s="72">
        <f>C12</f>
        <v>8.2987190000000002</v>
      </c>
    </row>
    <row r="39" spans="1:7" x14ac:dyDescent="0.25">
      <c r="C39" s="22" t="s">
        <v>345</v>
      </c>
    </row>
    <row r="40" spans="1:7" ht="18.75" x14ac:dyDescent="0.3">
      <c r="A40" s="73" t="s">
        <v>347</v>
      </c>
      <c r="C40" s="22" t="s">
        <v>368</v>
      </c>
    </row>
    <row r="41" spans="1:7" x14ac:dyDescent="0.25">
      <c r="C41" s="64">
        <v>100</v>
      </c>
    </row>
    <row r="42" spans="1:7" x14ac:dyDescent="0.25">
      <c r="A42" s="77" t="s">
        <v>367</v>
      </c>
      <c r="B42" s="22" t="s">
        <v>343</v>
      </c>
      <c r="C42" s="22" t="s">
        <v>342</v>
      </c>
    </row>
    <row r="43" spans="1:7" x14ac:dyDescent="0.25">
      <c r="A43" t="s">
        <v>346</v>
      </c>
      <c r="B43" s="29">
        <f>29.6%+5.82%</f>
        <v>0.35420000000000007</v>
      </c>
      <c r="C43" s="72">
        <f>$C$41*B43</f>
        <v>35.420000000000009</v>
      </c>
      <c r="E43" s="29"/>
      <c r="F43" s="29"/>
    </row>
    <row r="44" spans="1:7" x14ac:dyDescent="0.25">
      <c r="A44" t="s">
        <v>337</v>
      </c>
      <c r="B44" s="29">
        <f>26.23%+5.82%</f>
        <v>0.32050000000000001</v>
      </c>
      <c r="C44" s="72">
        <f t="shared" ref="C44:C53" si="0">$C$41*B44</f>
        <v>32.049999999999997</v>
      </c>
    </row>
    <row r="45" spans="1:7" x14ac:dyDescent="0.25">
      <c r="A45" t="s">
        <v>332</v>
      </c>
      <c r="B45" s="29">
        <f>21.54%+5.82%</f>
        <v>0.27359999999999995</v>
      </c>
      <c r="C45" s="72">
        <f t="shared" si="0"/>
        <v>27.359999999999996</v>
      </c>
    </row>
    <row r="46" spans="1:7" x14ac:dyDescent="0.25">
      <c r="A46" t="s">
        <v>333</v>
      </c>
      <c r="B46" s="29">
        <f>19.98%+5.82%</f>
        <v>0.25800000000000001</v>
      </c>
      <c r="C46" s="72">
        <f t="shared" si="0"/>
        <v>25.8</v>
      </c>
    </row>
    <row r="47" spans="1:7" x14ac:dyDescent="0.25">
      <c r="A47" t="s">
        <v>331</v>
      </c>
      <c r="B47" s="29">
        <f>19.3%+5.82%</f>
        <v>0.25119999999999998</v>
      </c>
      <c r="C47" s="72">
        <f t="shared" si="0"/>
        <v>25.119999999999997</v>
      </c>
    </row>
    <row r="48" spans="1:7" x14ac:dyDescent="0.25">
      <c r="A48" t="s">
        <v>338</v>
      </c>
      <c r="B48" s="29">
        <f>18.07%+5.82%</f>
        <v>0.2389</v>
      </c>
      <c r="C48" s="72">
        <f t="shared" si="0"/>
        <v>23.89</v>
      </c>
      <c r="G48">
        <f>7.8/48</f>
        <v>0.16250000000000001</v>
      </c>
    </row>
    <row r="49" spans="1:5" x14ac:dyDescent="0.25">
      <c r="A49" t="s">
        <v>339</v>
      </c>
      <c r="B49" s="29">
        <f>17.04%+5.82%</f>
        <v>0.2286</v>
      </c>
      <c r="C49" s="72">
        <f t="shared" si="0"/>
        <v>22.86</v>
      </c>
    </row>
    <row r="50" spans="1:5" x14ac:dyDescent="0.25">
      <c r="A50" t="s">
        <v>336</v>
      </c>
      <c r="B50" s="29">
        <f>17%+5.82%</f>
        <v>0.22820000000000001</v>
      </c>
      <c r="C50" s="72">
        <f t="shared" si="0"/>
        <v>22.82</v>
      </c>
    </row>
    <row r="51" spans="1:5" x14ac:dyDescent="0.25">
      <c r="A51" t="s">
        <v>334</v>
      </c>
      <c r="B51" s="29">
        <f>14.43%+5.82%</f>
        <v>0.20249999999999999</v>
      </c>
      <c r="C51" s="72">
        <f t="shared" si="0"/>
        <v>20.25</v>
      </c>
    </row>
    <row r="52" spans="1:5" x14ac:dyDescent="0.25">
      <c r="B52" s="29"/>
      <c r="C52" s="72"/>
    </row>
    <row r="53" spans="1:5" x14ac:dyDescent="0.25">
      <c r="A53" t="s">
        <v>335</v>
      </c>
      <c r="B53" s="29">
        <f>11.21%+5.82%</f>
        <v>0.17030000000000001</v>
      </c>
      <c r="C53" s="72">
        <f t="shared" si="0"/>
        <v>17.03</v>
      </c>
    </row>
    <row r="54" spans="1:5" x14ac:dyDescent="0.25">
      <c r="A54" t="s">
        <v>396</v>
      </c>
      <c r="B54" s="29">
        <v>0.2026</v>
      </c>
      <c r="C54" s="72">
        <f>B54*C41</f>
        <v>20.260000000000002</v>
      </c>
      <c r="E54" s="92">
        <f>6%+12%+0.44%+5.82%</f>
        <v>0.24259999999999998</v>
      </c>
    </row>
    <row r="55" spans="1:5" x14ac:dyDescent="0.25">
      <c r="A55" t="s">
        <v>398</v>
      </c>
      <c r="B55" s="29">
        <v>0.24260000000000001</v>
      </c>
    </row>
  </sheetData>
  <sortState ref="A41:C50">
    <sortCondition descending="1" ref="C41:C5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APPENDIX A</vt:lpstr>
      <vt:lpstr>TABLE 1</vt:lpstr>
      <vt:lpstr>TABLE 2</vt:lpstr>
      <vt:lpstr>Table 3</vt:lpstr>
      <vt:lpstr>TABLE 4</vt:lpstr>
      <vt:lpstr>TABLE 5</vt:lpstr>
      <vt:lpstr>TABLE 6</vt:lpstr>
      <vt:lpstr>ARPU v tax</vt:lpstr>
      <vt:lpstr>BIG CITY</vt:lpstr>
      <vt:lpstr>Stats</vt:lpstr>
      <vt:lpstr>PUerto Rico</vt:lpstr>
      <vt:lpstr>PG County</vt:lpstr>
      <vt:lpstr>PG Detail</vt:lpstr>
      <vt:lpstr>Summary changes</vt:lpstr>
      <vt:lpstr>Sheet3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Mackey</dc:creator>
  <cp:lastModifiedBy>Colby S. Pastre</cp:lastModifiedBy>
  <cp:lastPrinted>2015-08-14T14:11:54Z</cp:lastPrinted>
  <dcterms:created xsi:type="dcterms:W3CDTF">2012-08-29T18:58:13Z</dcterms:created>
  <dcterms:modified xsi:type="dcterms:W3CDTF">2015-11-12T20:25:45Z</dcterms:modified>
</cp:coreProperties>
</file>